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Смета 12 гр. по ФЕР" sheetId="1" r:id="rId1"/>
    <sheet name="Source" sheetId="2" r:id="rId2"/>
    <sheet name="SourceObSm" sheetId="3" r:id="rId3"/>
    <sheet name="SmtRes" sheetId="4" r:id="rId4"/>
    <sheet name="EtalonRes" sheetId="5" r:id="rId5"/>
  </sheets>
  <definedNames>
    <definedName name="_xlnm.Print_Titles" localSheetId="0">'Смета 12 гр. по ФЕР'!$25:$25</definedName>
    <definedName name="_xlnm.Print_Area" localSheetId="0">'Смета 12 гр. по ФЕР'!$A$1:$L$500</definedName>
  </definedNames>
  <calcPr fullCalcOnLoad="1"/>
</workbook>
</file>

<file path=xl/sharedStrings.xml><?xml version="1.0" encoding="utf-8"?>
<sst xmlns="http://schemas.openxmlformats.org/spreadsheetml/2006/main" count="7125" uniqueCount="782">
  <si>
    <t>Smeta.RU  (495) 974-1589</t>
  </si>
  <si>
    <t>_PS_</t>
  </si>
  <si>
    <t>Smeta.RU</t>
  </si>
  <si>
    <t/>
  </si>
  <si>
    <t>Новый договор</t>
  </si>
  <si>
    <t>13</t>
  </si>
  <si>
    <t>Электроснабжение ООО "Клиника №1"  на земельном участке с кадастровым номером 40:27: 030101:47. Трансформаторная подстанция. Калужская обл. г. Обнинск, пр. Ленина, д.74В</t>
  </si>
  <si>
    <t>Марченко А.А.</t>
  </si>
  <si>
    <t>Директор</t>
  </si>
  <si>
    <t>МП  "Горэлектросети"</t>
  </si>
  <si>
    <t>Игнатьев Ю.Н.</t>
  </si>
  <si>
    <t>Генеральный директор</t>
  </si>
  <si>
    <t>ООО "ЭнергоЦентрМонтаж"</t>
  </si>
  <si>
    <t>Сметные нормы списания</t>
  </si>
  <si>
    <t>Коды ценников</t>
  </si>
  <si>
    <t>ФЕР-2017</t>
  </si>
  <si>
    <t>ТР для Версии 10: Центральные регионы (с учетом п-ма 2536-ИП/12/ГС от 22.03.2017 г</t>
  </si>
  <si>
    <t>Поправки  для ГСН 2017 от 31.03.2017 г</t>
  </si>
  <si>
    <t>Новая локальная смета</t>
  </si>
  <si>
    <t>Строительство и реконструкция</t>
  </si>
  <si>
    <t>Новый раздел</t>
  </si>
  <si>
    <t>Вырубка кустарников-10м3</t>
  </si>
  <si>
    <t>1</t>
  </si>
  <si>
    <t>01-02-119-02</t>
  </si>
  <si>
    <t>Расчистка площадей от кустарника и мелколесья вручную при средней поросли</t>
  </si>
  <si>
    <t>100 м2</t>
  </si>
  <si>
    <t>ФЕР-2001, 01-02-119-02, приказ Минстроя России №1039/пр от 30.12.2016г.</t>
  </si>
  <si>
    <t>РСЦ с 1.09.2017г.</t>
  </si>
  <si>
    <t>Общестроительные работы</t>
  </si>
  <si>
    <t>Земляные работы по другим видам работ ( подготовительные, сопутствующие, укрепительные )</t>
  </si>
  <si>
    <t>ФЕР-01</t>
  </si>
  <si>
    <t>*0,85</t>
  </si>
  <si>
    <t>*0,8</t>
  </si>
  <si>
    <t>2</t>
  </si>
  <si>
    <t>т01-01-01-007</t>
  </si>
  <si>
    <t>Погрузочные работы при автомобильных перевозках леса круглого</t>
  </si>
  <si>
    <t>1 Т ГРУЗА</t>
  </si>
  <si>
    <t>ФССЦпг-2001, т01-01-01-007, приказ Минстроя России №1039/пр от 30.12.2016г.</t>
  </si>
  <si>
    <t>=12,12</t>
  </si>
  <si>
    <t>Погрузочно-разгрузочные работы</t>
  </si>
  <si>
    <t>Перевозка грузов , (ФССЦпр 2011-изм. № 4-6, раздел 1):  погрузочно-разгрузочные работы  (НР и СП в прям. затратах )</t>
  </si>
  <si>
    <t>ФССЦпр  пог. а/п (2011,изм. 4-6)</t>
  </si>
  <si>
    <t>3</t>
  </si>
  <si>
    <t>т03-21-01-015</t>
  </si>
  <si>
    <t>Перевозка грузов I класса автомобилями-самосвалами грузоподъемностью 10 т работающих вне карьера на расстояние до 15 км</t>
  </si>
  <si>
    <t>ФССЦпг-2001, т03-21-01-015, приказ Минстроя России №1039/пр от 30.12.2016г.</t>
  </si>
  <si>
    <t>=13,38</t>
  </si>
  <si>
    <t>Перевозка грузов авто/транспортом</t>
  </si>
  <si>
    <t>Перевозкуа грузов (ФССЦпр-2011 - изм. 7, разделы 1-4) - по сметной стоимости</t>
  </si>
  <si>
    <t>ФССЦпр , изм. 7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</si>
  <si>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</si>
  <si>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</si>
  <si>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</si>
  <si>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</si>
  <si>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</si>
  <si>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</si>
  <si>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</si>
  <si>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</si>
  <si>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</si>
  <si>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</si>
  <si>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</si>
  <si>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</si>
  <si>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</si>
  <si>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</si>
  <si>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</si>
  <si>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</si>
  <si>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</si>
  <si>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</si>
  <si>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</si>
  <si>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</si>
  <si>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</si>
  <si>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</si>
  <si>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</si>
  <si>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</si>
  <si>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</si>
  <si>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</si>
  <si>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</si>
  <si>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</si>
  <si>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</si>
  <si>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</si>
  <si>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</si>
  <si>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</si>
  <si>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</si>
  <si>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</si>
  <si>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</si>
  <si>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</si>
  <si>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</si>
  <si>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</si>
  <si>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</si>
  <si>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</si>
  <si>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</si>
  <si>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</si>
  <si>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</si>
  <si>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</si>
  <si>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</si>
  <si>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</si>
  <si>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</si>
  <si>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</si>
  <si>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</si>
  <si>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</si>
  <si>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</si>
  <si>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</si>
  <si>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Разработка котлована под ТП -117,9 м3. Обратная засыпка песком с послойной трамбовкой -38,9 м3</t>
  </si>
  <si>
    <t>4</t>
  </si>
  <si>
    <t>01-01-013-08</t>
  </si>
  <si>
    <t>Разработка грунта с погрузкой на автомобили-самосвалы экскаваторами с ковшом вместимостью 0,65 (0,5-1) м3, группа грунтов 2</t>
  </si>
  <si>
    <t>1000 м3</t>
  </si>
  <si>
    <t>ФЕР-2001, 01-01-013-08, приказ Минстроя России №1039/пр от 30.12.2016г.</t>
  </si>
  <si>
    <t>)*1,32</t>
  </si>
  <si>
    <t>Земляные работы, выполняемые  механизированным способом</t>
  </si>
  <si>
    <t>Поправка: Прил. 1.12, п.3. 50</t>
  </si>
  <si>
    <t>5</t>
  </si>
  <si>
    <t>01-02-055-02</t>
  </si>
  <si>
    <t>Доработка грунта вручную с креплениями в траншеях шириной до 2 м, глубиной до 2 м, группа грунтов 2</t>
  </si>
  <si>
    <t>100 м3</t>
  </si>
  <si>
    <t>ФЕР-2001, 01-02-055-02, приказ Минстроя России №1039/пр от 30.12.2016г.</t>
  </si>
  <si>
    <t>Поправка: Прил. 1.12, п.3.184.  Наименование: Разработка и обратная засыпка вручную сильно налипающего на инструменты грунта 2 группы</t>
  </si>
  <si>
    <t>)*1,15</t>
  </si>
  <si>
    <t>Земляные работы, выполняемые  ручным способом</t>
  </si>
  <si>
    <t>Поправка: Прил. 1.12, п.3.184.</t>
  </si>
  <si>
    <t>6</t>
  </si>
  <si>
    <t>01-02-060-01</t>
  </si>
  <si>
    <t>Погрузка вручную неуплотненного грунта из штабелей и отвалов в транспортные средства, группа грунтов 1</t>
  </si>
  <si>
    <t>ФЕР-2001, 01-02-060-01, приказ Минстроя России №1039/пр от 30.12.2016г.</t>
  </si>
  <si>
    <t>7</t>
  </si>
  <si>
    <t>8</t>
  </si>
  <si>
    <t>01-01-016-02</t>
  </si>
  <si>
    <t>Работа на отвале, группа грунтов 2-3</t>
  </si>
  <si>
    <t>ФЕР-2001, 01-01-016-02, приказ Минстроя России №1039/пр от 30.12.2016г.</t>
  </si>
  <si>
    <t>9</t>
  </si>
  <si>
    <t>01-01-033-01</t>
  </si>
  <si>
    <t>Засыпка траншей и котлованов с перемещением грунта до 5 м бульдозерами мощностью 59 кВт (80 л.с.), группа грунтов 1</t>
  </si>
  <si>
    <t>ФЕР-2001, 01-01-033-01, приказ Минстроя России №1039/пр от 30.12.2016г.</t>
  </si>
  <si>
    <t>10</t>
  </si>
  <si>
    <t>01-01-033-07</t>
  </si>
  <si>
    <t>При перемещении грунта на каждые последующие 5 м добавлять к расценке 01-01-033-01</t>
  </si>
  <si>
    <t>ФЕР-2001, 01-01-033-07, приказ Минстроя России №1039/пр от 30.12.2016г.</t>
  </si>
  <si>
    <t>10,1</t>
  </si>
  <si>
    <t>02.3.01.02-0015</t>
  </si>
  <si>
    <t>Песок природный для строительных работ средний</t>
  </si>
  <si>
    <t>м3</t>
  </si>
  <si>
    <t>ФССЦ-2001, 02.3.01.02-0015, приказ Минстроя России №1039/пр от 30.12.2016г.</t>
  </si>
  <si>
    <t>Материалы строительные</t>
  </si>
  <si>
    <t>Материалы и конструкции ( строительные ) по ценникам и каталогом</t>
  </si>
  <si>
    <t>ФССЦст</t>
  </si>
  <si>
    <t>11</t>
  </si>
  <si>
    <t>01-02-005-01</t>
  </si>
  <si>
    <t>Уплотнение грунта пневматическими трамбовками, группа грунтов 1-2</t>
  </si>
  <si>
    <t>ФЕР-2001, 01-02-005-01, приказ Минстроя России №1039/пр от 30.12.2016г.</t>
  </si>
  <si>
    <t>Оборудование.</t>
  </si>
  <si>
    <t>12</t>
  </si>
  <si>
    <t>м08-01-025-02</t>
  </si>
  <si>
    <t>Подстанция комплектная трансформаторная напряжением до 10 кВ с трансформатором мощностью до 1000 кВ·А</t>
  </si>
  <si>
    <t>ШТ</t>
  </si>
  <si>
    <t>ФЕРм-2001, м08-01-025-02, приказ Минстроя России №1039/пр от 30.12.2016г.</t>
  </si>
  <si>
    <t>Монтажные работы</t>
  </si>
  <si>
    <t>Электромонтажные работы ,  отдел 01-03 : ( на АЭС  НР = 110% ) - (работы по упр. авиа.- движением:  СП=55% (  {АВИА}=1; обычные работы : СП=65 - {AВИА}=0), при работе на АЭС СП= 68% )</t>
  </si>
  <si>
    <t>мФЕР-08</t>
  </si>
  <si>
    <t>Прайс лист</t>
  </si>
  <si>
    <t>Комплектная трансформаторная подстанция 6/0,4кВ городских сетей   2КТПНУ  630/6/0,4-УХЛ1 . РУ 0,4кВ ЩО70 -7шт;  РУ ВН 10кВ КСО 393-8шт;  с учетом доставки  ООО "ПКФ Электрощит"  г. Воронеж Прив цена= 2232570/1,18/3,93</t>
  </si>
  <si>
    <t>1  шт.</t>
  </si>
  <si>
    <t>=2232570/1,18/3,93</t>
  </si>
  <si>
    <t>1привод</t>
  </si>
  <si>
    <t>Материалы, изделия и конструкции</t>
  </si>
  <si>
    <t>материалы (03)</t>
  </si>
  <si>
    <t>14</t>
  </si>
  <si>
    <t>м08-01-062-02</t>
  </si>
  <si>
    <t>Трансформатор силовой, автотрансформатор, масса до 3 т  Монтаж первого трансф-ра учтен в монтаже комплектной ТП)</t>
  </si>
  <si>
    <t>ФЕРм-2001, м08-01-062-02, приказ Минстроя России №1039/пр от 30.12.2016г.</t>
  </si>
  <si>
    <t>14,1</t>
  </si>
  <si>
    <t>Трансформатор ТМГ 21  -630/6,0/0,4кВ ( Минский ЭТЗ)  г. Воронеж Прив цена= 325971/1,18/3,93</t>
  </si>
  <si>
    <t>=325971/1,18/3,93</t>
  </si>
  <si>
    <t>Фундаменты под БКТП</t>
  </si>
  <si>
    <t>15</t>
  </si>
  <si>
    <t>01-02-057-02</t>
  </si>
  <si>
    <t>Разработка грунта вручную в траншеях глубиной до 2 м без креплений с откосами, группа грунтов 2</t>
  </si>
  <si>
    <t>ФЕР-2001, 01-02-057-02, приказ Минстроя России №1039/пр от 30.12.2016г.</t>
  </si>
  <si>
    <t>16</t>
  </si>
  <si>
    <t>17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</si>
  <si>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</si>
  <si>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</si>
  <si>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</si>
  <si>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</si>
  <si>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</si>
  <si>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17,1</t>
  </si>
  <si>
    <t>18</t>
  </si>
  <si>
    <t>06-01-001-01</t>
  </si>
  <si>
    <t>Устройство бетонной подготовки</t>
  </si>
  <si>
    <t>ФЕР-2001, 06-01-001-01, приказ Минстроя России №1039/пр от 30.12.2016г.</t>
  </si>
  <si>
    <t>Монолитные бетонные и железобетонные конструкции в промышленном строительстве</t>
  </si>
  <si>
    <t>ФЕР-06</t>
  </si>
  <si>
    <t>18,1</t>
  </si>
  <si>
    <t>04.1.02.05-0026</t>
  </si>
  <si>
    <t>Бетон тяжелый, крупность заполнителя 10 мм, класс В15 (М200)</t>
  </si>
  <si>
    <t>ФССЦ-2001, 04.1.02.05-0026, приказ Минстроя России №1039/пр от 30.12.2016г.</t>
  </si>
  <si>
    <t>19</t>
  </si>
  <si>
    <t>07-05-001-01</t>
  </si>
  <si>
    <t>Установка блоков стен подвалов массой до 0,5 т</t>
  </si>
  <si>
    <t>100 ШТ</t>
  </si>
  <si>
    <t>ФЕР-2001, 07-05-001-01, приказ Минстроя России №1039/пр от 30.12.2016г.</t>
  </si>
  <si>
    <t>Сборные бетонные констр. в жил. стр/ (крупно-пан. д_стр. (для СП=108% - {КПД}=1; обыч. д_стр. СП=90% - {КПД}=0)</t>
  </si>
  <si>
    <t>ФЕР-07</t>
  </si>
  <si>
    <t>19,1</t>
  </si>
  <si>
    <t>19,2</t>
  </si>
  <si>
    <t>Стоимость  ФБС 12 -3-6т  Прив цена= 1705,1/1,18/5,66*1,02=</t>
  </si>
  <si>
    <t>=1705,1/1,18/5,66*1,02</t>
  </si>
  <si>
    <t>19,3</t>
  </si>
  <si>
    <t>Стоимость  ФБС 9 -3-6т  Прив цена= 1320,42/1,18/5,66*1,02=</t>
  </si>
  <si>
    <t>= 1320,42/1,18/5,66*1,02</t>
  </si>
  <si>
    <t>20</t>
  </si>
  <si>
    <t>07-05-001-02</t>
  </si>
  <si>
    <t>Установка блоков стен подвалов массой до 1 т</t>
  </si>
  <si>
    <t>ФЕР-2001, 07-05-001-02, приказ Минстроя России №1039/пр от 30.12.2016г.</t>
  </si>
  <si>
    <t>20,1</t>
  </si>
  <si>
    <t>20,2</t>
  </si>
  <si>
    <t>Стоимость  ФБС 24 -3-6т  Прив цена= 2310,44/1,18/5,66*1,02=</t>
  </si>
  <si>
    <t>=2310,44/1,18/5,66*1,02</t>
  </si>
  <si>
    <t>21</t>
  </si>
  <si>
    <t>46-03-017-03</t>
  </si>
  <si>
    <t>Заделка отверстий, гнезд и борозд в стенах и перегородках железобетонных площадью до 0,1 м2</t>
  </si>
  <si>
    <t>ФЕР-2001, 46-03-017-03, приказ Минстроя России №1039/пр от 30.12.2016г.</t>
  </si>
  <si>
    <t>Реконструкция зданий и сооружений</t>
  </si>
  <si>
    <t>ФЕР-46</t>
  </si>
  <si>
    <t>21,1</t>
  </si>
  <si>
    <t>22</t>
  </si>
  <si>
    <t>29-01-253-01</t>
  </si>
  <si>
    <t>Установка гильз из стальных труб диаметром 100 мм</t>
  </si>
  <si>
    <t>10 ШТ</t>
  </si>
  <si>
    <t>ФЕР-2001, 29-01-253-01, приказ Минстроя России №1039/пр от 30.12.2016г.</t>
  </si>
  <si>
    <t>Тоннели и метрополитены  -  закрытый способ работ</t>
  </si>
  <si>
    <t>ФЕР-29</t>
  </si>
  <si>
    <t>23</t>
  </si>
  <si>
    <t>22-01-002-01</t>
  </si>
  <si>
    <t>Укладка хризотилцементных водопроводных труб с соединением труб чугунными муфтами диаметром 100 мм</t>
  </si>
  <si>
    <t>км</t>
  </si>
  <si>
    <t>ФЕР-2001, 22-01-002-01, приказ Минстроя России №1039/пр от 30.12.2016г.</t>
  </si>
  <si>
    <t>Водопровод - наружные сети</t>
  </si>
  <si>
    <t>ФЕР-22</t>
  </si>
  <si>
    <t>24</t>
  </si>
  <si>
    <t>24.2.05.01-0001</t>
  </si>
  <si>
    <t>Трубы хризотилцементные безнапорные БНТ, диаметр условного прохода 100 мм</t>
  </si>
  <si>
    <t>м</t>
  </si>
  <si>
    <t>ФССЦ-2001, 24.2.05.01-0001, приказ Минстроя России №1039/пр от 30.12.2016г.</t>
  </si>
  <si>
    <t>25</t>
  </si>
  <si>
    <t>06-01-015-06</t>
  </si>
  <si>
    <t>Установка стальных конструкций, остающихся в теле бетона (пластина 300*300*10-12шт и арматура -200мм - д. 8 мм2 -24шт и арматурная сетка)</t>
  </si>
  <si>
    <t>т</t>
  </si>
  <si>
    <t>ФЕР-2001, 06-01-015-06, приказ Минстроя России №1039/пр от 30.12.2016г.</t>
  </si>
  <si>
    <t>25,1</t>
  </si>
  <si>
    <t>08.4.03.02-0002</t>
  </si>
  <si>
    <t>Горячекатаная арматурная сталь гладкая класса А-I, диаметром 8 мм</t>
  </si>
  <si>
    <t>ФССЦ-2001, 08.4.03.02-0002, приказ Минстроя России №1039/пр от 30.12.2016г.</t>
  </si>
  <si>
    <t>26</t>
  </si>
  <si>
    <t>06-01-015-10</t>
  </si>
  <si>
    <t>Армирование подстилающих слоев и набетонок</t>
  </si>
  <si>
    <t>ФЕР-2001, 06-01-015-10, приказ Минстроя России №1039/пр от 30.12.2016г.</t>
  </si>
  <si>
    <t>26,1</t>
  </si>
  <si>
    <t>08.4.03.02-0004</t>
  </si>
  <si>
    <t>Горячекатаная арматурная сталь гладкая класса А-I, диаметром 12 мм</t>
  </si>
  <si>
    <t>ФССЦ-2001, 08.4.03.02-0004, приказ Минстроя России №1039/пр от 30.12.2016г.</t>
  </si>
  <si>
    <t>27</t>
  </si>
  <si>
    <t>11-01-005-01</t>
  </si>
  <si>
    <t>Устройство гидроизоляции из полиэтиленовой пленки 1 слой</t>
  </si>
  <si>
    <t>ФЕР-2001, 11-01-005-01, приказ Минстроя России №1039/пр от 30.12.2016г.</t>
  </si>
  <si>
    <t>Полы</t>
  </si>
  <si>
    <t>ФЕР-11</t>
  </si>
  <si>
    <t>28</t>
  </si>
  <si>
    <t>08-01-003-07</t>
  </si>
  <si>
    <t>Гидроизоляция боковая обмазочная битумная в 2 слоя по выровненной поверхности бутовой кладки, кирпичу, бетону</t>
  </si>
  <si>
    <t>ФЕР-2001, 08-01-003-07, приказ Минстроя России №1039/пр от 30.12.2016г.</t>
  </si>
  <si>
    <t>Конструкции из кирпича и блоков</t>
  </si>
  <si>
    <t>ФЕР-08</t>
  </si>
  <si>
    <t>Бетонная отмостка КТП</t>
  </si>
  <si>
    <t>29</t>
  </si>
  <si>
    <t>Устройство бетонной отмостки</t>
  </si>
  <si>
    <t>29,1</t>
  </si>
  <si>
    <t>Подъезд к КТП на площади  ~15м2</t>
  </si>
  <si>
    <t>30</t>
  </si>
  <si>
    <t>30,1</t>
  </si>
  <si>
    <t>31</t>
  </si>
  <si>
    <t>27-04-001-04</t>
  </si>
  <si>
    <t>Устройство подстилающих и выравнивающих слоев оснований из щебня</t>
  </si>
  <si>
    <t>ФЕР-2001, 27-04-001-04, приказ Минстроя России №1039/пр от 30.12.2016г.</t>
  </si>
  <si>
    <t>32</t>
  </si>
  <si>
    <t>02.2.05.04-0046</t>
  </si>
  <si>
    <t>Щебень из гравия для строительных работ марка 600, фракция 10-20 мм</t>
  </si>
  <si>
    <t>ФССЦ-2001, 02.2.05.04-0046, приказ Минстроя России №1039/пр от 30.12.2016г.</t>
  </si>
  <si>
    <t>Монтажные работы, заземление.</t>
  </si>
  <si>
    <t>33</t>
  </si>
  <si>
    <t>м08-02-396-02</t>
  </si>
  <si>
    <t>Короб металлический на конструкциях, кронштейнах, по фермам и колоннам, длина 3 м</t>
  </si>
  <si>
    <t>100 м</t>
  </si>
  <si>
    <t>ФЕРм-2001, м08-02-396-02, приказ Минстроя России №1039/пр от 30.12.2016г.</t>
  </si>
  <si>
    <t>34</t>
  </si>
  <si>
    <t>Лоток перфорированный 200х 80х3000х 0.8мм | 35304 | DKC Приведенная цена=485/1,18/5,66*1,02</t>
  </si>
  <si>
    <t>метр</t>
  </si>
  <si>
    <t>=485/1,18/5,66*1,02</t>
  </si>
  <si>
    <t>100 м провода</t>
  </si>
  <si>
    <t>35</t>
  </si>
  <si>
    <t>м08-02-471-01</t>
  </si>
  <si>
    <t>Заземлитель вертикальный из угловой стали размером 50х50х5 мм</t>
  </si>
  <si>
    <t>ФЕРм-2001, м08-02-471-01, приказ Минстроя России №1039/пр от 30.12.2016г.</t>
  </si>
  <si>
    <t>35,1</t>
  </si>
  <si>
    <t>08.3.08.02-0022</t>
  </si>
  <si>
    <t>Сталь угловая 50х50 мм</t>
  </si>
  <si>
    <t>ФССЦ-2001, 08.3.08.02-0022, приказ Минстроя России №1039/пр от 30.12.2016г.</t>
  </si>
  <si>
    <t>36</t>
  </si>
  <si>
    <t>м08-02-472-02</t>
  </si>
  <si>
    <t>Заземлитель горизонтальный из стали полосовой сечением 160 мм2</t>
  </si>
  <si>
    <t>ФЕРм-2001, м08-02-472-02, приказ Минстроя России №1039/пр от 30.12.2016г.</t>
  </si>
  <si>
    <t>36,1</t>
  </si>
  <si>
    <t>08.3.07.01-0043</t>
  </si>
  <si>
    <t>Сталь полосовая 40х5 мм, марка Ст3сп</t>
  </si>
  <si>
    <t>ФССЦ-2001, 08.3.07.01-0043, приказ Минстроя России №1039/пр от 30.12.2016г.</t>
  </si>
  <si>
    <t>Пусконаладочные работы. Измерение</t>
  </si>
  <si>
    <t>37</t>
  </si>
  <si>
    <t>п01-02-002-02</t>
  </si>
  <si>
    <t>Трансформатор силовой трехфазный масляный двухобмоточный напряжением до 11 кВ, мощностью до 1,6 МВА</t>
  </si>
  <si>
    <t>ФЕРп-2001, п01-02-002-02, приказ Минстроя России №1039/пр от 30.12.2016г.</t>
  </si>
  <si>
    <t>Пусконаладочные работы</t>
  </si>
  <si>
    <t>Пусконаладочные работы : все сборники, отдел 05 ( диагностика лифтов ) и отдел 06 ( техническое освидетельствование ) сборника мрФЕР-01</t>
  </si>
  <si>
    <t>пФЕРп</t>
  </si>
  <si>
    <t>38</t>
  </si>
  <si>
    <t>п01-12-020-01</t>
  </si>
  <si>
    <t>Испытание сборных и соединительных шин напряжением до 11 кВ</t>
  </si>
  <si>
    <t>испытание</t>
  </si>
  <si>
    <t>ФЕРп-2001, п01-12-020-01, приказ Минстроя России №1039/пр от 30.12.2016г.</t>
  </si>
  <si>
    <t>39</t>
  </si>
  <si>
    <t>п01-02-017-01</t>
  </si>
  <si>
    <t>Трансформатор тока измерительный выносной напряжением до 1 кВ</t>
  </si>
  <si>
    <t>ФЕРп-2001, п01-02-017-01, приказ Минстроя России №1039/пр от 30.12.2016г.</t>
  </si>
  <si>
    <t>40</t>
  </si>
  <si>
    <t>п01-12-010-02</t>
  </si>
  <si>
    <t>Испытание первичной обмотки трансформатора измерительного</t>
  </si>
  <si>
    <t>ФЕРп-2001, п01-12-010-02, приказ Минстроя России №1039/пр от 30.12.2016г.</t>
  </si>
  <si>
    <t>41</t>
  </si>
  <si>
    <t>п01-12-010-03</t>
  </si>
  <si>
    <t>Испытание вторичной обмотки трансформатора измерительного</t>
  </si>
  <si>
    <t>ФЕРп-2001, п01-12-010-03, приказ Минстроя России №1039/пр от 30.12.2016г.</t>
  </si>
  <si>
    <t>42</t>
  </si>
  <si>
    <t>п01-03-002-11</t>
  </si>
  <si>
    <t>Выключатель трехполюсный напряжением до 1 кВ с полупроводниковым расцепителем максимального тока, номинальный ток до 2500 А</t>
  </si>
  <si>
    <t>ФЕРп-2001, п01-03-002-11, приказ Минстроя России №1039/пр от 30.12.2016г.</t>
  </si>
  <si>
    <t>Заземление. Испытание</t>
  </si>
  <si>
    <t>43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</si>
  <si>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</si>
  <si>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</si>
  <si>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</si>
  <si>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</si>
  <si>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44</t>
  </si>
  <si>
    <t>п01-11-013-01</t>
  </si>
  <si>
    <t>Замер полного сопротивления цепи "фаза-нуль"</t>
  </si>
  <si>
    <t>ФЕРп-2001, п01-11-013-01, приказ Минстроя России №1039/пр от 30.12.2016г.</t>
  </si>
  <si>
    <t>45</t>
  </si>
  <si>
    <t>п01-11-010-01</t>
  </si>
  <si>
    <t>Измерение сопротивления растеканию тока заземлителя</t>
  </si>
  <si>
    <t>измерение</t>
  </si>
  <si>
    <t>ФЕРп-2001, п01-11-010-01, приказ Минстроя России №1039/пр от 30.12.2016г.</t>
  </si>
  <si>
    <t>46</t>
  </si>
  <si>
    <t>п01-05-015-01</t>
  </si>
  <si>
    <t>Устройство АВР со схемой восстановления напряжения</t>
  </si>
  <si>
    <t>ФЕРп-2001, п01-05-015-01, приказ Минстроя России №1039/пр от 30.12.2016г.</t>
  </si>
  <si>
    <t>Восстановление газонов, благоустройство</t>
  </si>
  <si>
    <t>47</t>
  </si>
  <si>
    <t>01-01-111-02</t>
  </si>
  <si>
    <t>Планировка вручную, группа грунтов 2</t>
  </si>
  <si>
    <t>1000 м2</t>
  </si>
  <si>
    <t>ФЕР-2001, 01-01-111-02, приказ Минстроя России №1039/пр от 30.12.2016г.</t>
  </si>
  <si>
    <t>48</t>
  </si>
  <si>
    <t>47-01-046-04</t>
  </si>
  <si>
    <t>Подготовка почвы для устройства партерного и обыкновенного газона с внесением растительной земли слоем 15 см вручную</t>
  </si>
  <si>
    <t>ФЕР-2001, 47-01-046-04, приказ Минстроя России №1039/пр от 30.12.2016г.</t>
  </si>
  <si>
    <t>Озеленение. Защитные лесонасаждения</t>
  </si>
  <si>
    <t>ФЕР-47</t>
  </si>
  <si>
    <t>48,1</t>
  </si>
  <si>
    <t>16.2.01.03-0011</t>
  </si>
  <si>
    <t>Торф</t>
  </si>
  <si>
    <t>ФССЦ-2001, 16.2.01.03-0011, приказ Минстроя России №1039/пр от 30.12.2016г.</t>
  </si>
  <si>
    <t>49</t>
  </si>
  <si>
    <t>47-02-093-02</t>
  </si>
  <si>
    <t>Посев многолетних трав</t>
  </si>
  <si>
    <t>га</t>
  </si>
  <si>
    <t>ФЕР-2001, 47-02-093-02, приказ Минстроя России №1039/пр от 30.12.2016г.</t>
  </si>
  <si>
    <t>49,1</t>
  </si>
  <si>
    <t>16.2.02.07-0161</t>
  </si>
  <si>
    <t>Семена газонных трав (смесь)</t>
  </si>
  <si>
    <t>кг</t>
  </si>
  <si>
    <t>ФССЦ-2001, 16.2.02.07-0161, приказ Минстроя России №1039/пр от 30.12.2016г.</t>
  </si>
  <si>
    <t>50</t>
  </si>
  <si>
    <t>01-02-041-01</t>
  </si>
  <si>
    <t>Полив посевов трав водой</t>
  </si>
  <si>
    <t>ФЕР-2001, 01-02-041-01, приказ Минстроя России №1039/пр от 30.12.2016г.</t>
  </si>
  <si>
    <t>НДС</t>
  </si>
  <si>
    <t>НДС 18%</t>
  </si>
  <si>
    <t>Итого</t>
  </si>
  <si>
    <t>Итого по смете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</si>
  <si>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</si>
  <si>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</si>
  <si>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</si>
  <si>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</si>
  <si>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</si>
  <si>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</si>
  <si>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</si>
  <si>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</si>
  <si>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</si>
  <si>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</si>
  <si>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</si>
  <si>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</si>
  <si>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</si>
  <si>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</si>
  <si>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</si>
  <si>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</si>
  <si>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Работы по строительству мостов, тоннелей, метрополитенов, атомных станций, объектов с ядерным топливом и радиокативными отходами ( письмо Госстроя РФ № 2536-ИП/12/ГС от 27.11.12), коэффициенты к НР =0,85 и к СП-0,8 не назначаются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</si>
  <si>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</si>
  <si>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</si>
  <si>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</si>
  <si>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</si>
  <si>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</si>
  <si>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</si>
  <si>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</si>
  <si>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</si>
  <si>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</si>
  <si>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</si>
  <si>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</si>
  <si>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</si>
  <si>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</si>
  <si>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</si>
  <si>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</si>
  <si>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</si>
  <si>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</si>
  <si>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</si>
  <si>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</si>
  <si>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</si>
  <si>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</si>
  <si>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</si>
  <si>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</si>
  <si>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</si>
  <si>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</si>
  <si>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</si>
  <si>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</si>
  <si>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</si>
  <si>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</si>
  <si>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</si>
  <si>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</si>
  <si>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</si>
  <si>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</si>
  <si>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</si>
  <si>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</si>
  <si>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</si>
  <si>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</si>
  <si>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</si>
  <si>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</si>
  <si>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</si>
  <si>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</si>
  <si>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</si>
  <si>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</si>
  <si>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</si>
  <si>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Индексы за итогом</t>
  </si>
  <si>
    <t>Сборник индексов</t>
  </si>
  <si>
    <t>_OBSM_</t>
  </si>
  <si>
    <t>1-100-30</t>
  </si>
  <si>
    <t>Рабочий среднего разряда 3</t>
  </si>
  <si>
    <t>чел.-ч.</t>
  </si>
  <si>
    <t>1-100-20</t>
  </si>
  <si>
    <t>Рабочий среднего разряда 2</t>
  </si>
  <si>
    <t>4-100-00</t>
  </si>
  <si>
    <t>Затраты труда машинистов</t>
  </si>
  <si>
    <t>91.01.01-035</t>
  </si>
  <si>
    <t>ФСЭМ-2001, 91.01.01-035, приказ Минстроя России №1039/пр от 30.12.2016г.</t>
  </si>
  <si>
    <t>Бульдозеры, мощность 79 кВт (108 л.с.)</t>
  </si>
  <si>
    <t>маш.-ч</t>
  </si>
  <si>
    <t>91.01.05-086</t>
  </si>
  <si>
    <t>ФСЭМ-2001, 91.01.05-086, приказ Минстроя России №1039/пр от 30.12.2016г.</t>
  </si>
  <si>
    <t>Экскаваторы одноковшовые дизельные на гусеничном ходу, емкость ковша 0,65 м3</t>
  </si>
  <si>
    <t>02.2.05.04-0093</t>
  </si>
  <si>
    <t>ФССЦ-2001, 02.2.05.04-0093, приказ Минстроя России №1039/пр от 30.12.2016г.</t>
  </si>
  <si>
    <t>Щебень из природного камня для строительных работ марка 800, фракция 20-40 мм</t>
  </si>
  <si>
    <t>1-100-28</t>
  </si>
  <si>
    <t>Рабочий среднего разряда 2.8</t>
  </si>
  <si>
    <t>1-100-15</t>
  </si>
  <si>
    <t>Рабочий среднего разряда 1.5</t>
  </si>
  <si>
    <t>91.14.03-001</t>
  </si>
  <si>
    <t>ФСЭМ-2001, 91.14.03-001, приказ Минстроя России №1039/пр от 30.12.2016г.</t>
  </si>
  <si>
    <t>Автомобиль-самосвал, грузоподъемность до 7 т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</si>
  <si>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</si>
  <si>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</si>
  <si>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</si>
  <si>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91.08.09-023</t>
  </si>
  <si>
    <t>ФСЭМ-2001, 91.08.09-023, приказ Минстроя России №1039/пр от 30.12.2016г.</t>
  </si>
  <si>
    <t>Трамбовки пневматические при работе от передвижных компрессорных станций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</si>
  <si>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</si>
  <si>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</si>
  <si>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 ат), производительность до 5 м3/мин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</si>
  <si>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</si>
  <si>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</si>
  <si>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</si>
  <si>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</si>
  <si>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</si>
  <si>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</si>
  <si>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</si>
  <si>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</si>
  <si>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</si>
  <si>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</si>
  <si>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</si>
  <si>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01.1.01.09-0024</t>
  </si>
  <si>
    <t>ФССЦ-2001, 01.1.01.09-0024, приказ Минстроя России №1039/пр от 30.12.2016г.</t>
  </si>
  <si>
    <t>Шнур асбестовый общего назначения марки ШАОН диаметром 3-5 мм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</si>
  <si>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</si>
  <si>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</si>
  <si>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</si>
  <si>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</si>
  <si>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</si>
  <si>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</si>
  <si>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14.4.04.12-0008</t>
  </si>
  <si>
    <t>ФССЦ-2001, 14.4.04.12-0008, приказ Минстроя России №1039/пр от 30.12.2016г.</t>
  </si>
  <si>
    <t>Эмаль эпоксидная ЭП-140 защитная</t>
  </si>
  <si>
    <t>999-9950</t>
  </si>
  <si>
    <t>Вспомогательные ненормируемые материалы (2% от ОЗП)</t>
  </si>
  <si>
    <t>РУБ</t>
  </si>
  <si>
    <t>01.7.15.10-0053</t>
  </si>
  <si>
    <t>ФССЦ-2001, 01.7.15.10-0053, приказ Минстроя России №1039/пр от 30.12.2016г.</t>
  </si>
  <si>
    <t>Скобы металлические</t>
  </si>
  <si>
    <t>25.1.01.04-0012</t>
  </si>
  <si>
    <t>ФССЦ-2001, 25.1.01.04-0012, приказ Минстроя России №1039/пр от 30.12.2016г.</t>
  </si>
  <si>
    <t>Шпалы из древесины хвойных пород длиной 1200 мм для колеи 600 мм непропитанные, тип 2</t>
  </si>
  <si>
    <t>шт.</t>
  </si>
  <si>
    <t>1-100-23</t>
  </si>
  <si>
    <t>Рабочий среднего разряда 2.3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</si>
  <si>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</si>
  <si>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</si>
  <si>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</si>
  <si>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</si>
  <si>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</si>
  <si>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</si>
  <si>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</si>
  <si>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</si>
  <si>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</si>
  <si>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</si>
  <si>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</si>
  <si>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</si>
  <si>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01.7.03.01-0001</t>
  </si>
  <si>
    <t>ФССЦ-2001, 01.7.03.01-0001, приказ Минстроя России №1039/пр от 30.12.2016г.</t>
  </si>
  <si>
    <t>Вода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</si>
  <si>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</si>
  <si>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</si>
  <si>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</si>
  <si>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91.07.04-002</t>
  </si>
  <si>
    <t>ФСЭМ-2001, 91.07.04-002, приказ Минстроя России №1039/пр от 30.12.2016г.</t>
  </si>
  <si>
    <t>Вибратор поверхностный</t>
  </si>
  <si>
    <t>01.7.07.12-0024</t>
  </si>
  <si>
    <t>ФССЦ-2001, 01.7.07.12-0024, приказ Минстроя России №1039/пр от 30.12.2016г.</t>
  </si>
  <si>
    <t>Пленка полиэтиленовая толщиной 0,15 мм</t>
  </si>
  <si>
    <t>м2</t>
  </si>
  <si>
    <t>1-100-32</t>
  </si>
  <si>
    <t>Рабочий среднего разряда 3.2</t>
  </si>
  <si>
    <t>91.05.06-012</t>
  </si>
  <si>
    <t>ФСЭМ-2001, 91.05.06-012, приказ Минстроя России №1039/пр от 30.12.2016г.</t>
  </si>
  <si>
    <t>Краны на гусеничном ходу, грузоподъемность до 16 т</t>
  </si>
  <si>
    <t>04.3.01.09-0014</t>
  </si>
  <si>
    <t>ФССЦ-2001, 04.3.01.09-0014, приказ Минстроя России №1039/пр от 30.12.2016г.</t>
  </si>
  <si>
    <t>Раствор готовый кладочный цементный марки 100</t>
  </si>
  <si>
    <t>1-100-24</t>
  </si>
  <si>
    <t>Рабочий среднего разряда 2.4</t>
  </si>
  <si>
    <t>91.06.03-060</t>
  </si>
  <si>
    <t>ФСЭМ-2001, 91.06.03-060, приказ Минстроя России №1039/пр от 30.12.2016г.</t>
  </si>
  <si>
    <t>Лебедки электрические тяговым усилием до 5,79 кН (0,59 т)</t>
  </si>
  <si>
    <t>01.7.15.06-0111</t>
  </si>
  <si>
    <t>ФССЦ-2001, 01.7.15.06-0111, приказ Минстроя России №1039/пр от 30.12.2016г.</t>
  </si>
  <si>
    <t>Гвозди строительные</t>
  </si>
  <si>
    <t>03.1.02.03-0011</t>
  </si>
  <si>
    <t>ФССЦ-2001, 03.1.02.03-0011, приказ Минстроя России №1039/пр от 30.12.2016г.</t>
  </si>
  <si>
    <t>Известь строительная негашеная комовая, сорт I</t>
  </si>
  <si>
    <t>08.3.03.04-0012</t>
  </si>
  <si>
    <t>ФССЦ-2001, 08.3.03.04-0012, приказ Минстроя России №1039/пр от 30.12.2016г.</t>
  </si>
  <si>
    <t>Проволока светлая диаметром 1,1 мм</t>
  </si>
  <si>
    <t>08.3.03.06-0002</t>
  </si>
  <si>
    <t>ФССЦ-2001, 08.3.03.06-0002, приказ Минстроя России №1039/пр от 30.12.2016г.</t>
  </si>
  <si>
    <t>Проволока горячекатаная в мотках, диаметром 6,3-6,5 мм</t>
  </si>
  <si>
    <t>11.1.03.01-0079</t>
  </si>
  <si>
    <t>ФССЦ-2001, 11.1.03.01-0079, приказ Минстроя России №1039/пр от 30.12.2016г.</t>
  </si>
  <si>
    <t>Бруски обрезные хвойных пород длиной 4-6,5 м, шириной 75-150 мм, толщиной 40-75 мм, III сорта</t>
  </si>
  <si>
    <t>11.1.03.06-0091</t>
  </si>
  <si>
    <t>ФССЦ-2001, 11.1.03.06-0091, приказ Минстроя России №1039/пр от 30.12.2016г.</t>
  </si>
  <si>
    <t>Доски обрезные хвойных пород длиной 4-6,5 м, шириной 75-150 мм, толщиной 32-40 мм, III сорта</t>
  </si>
  <si>
    <t>1-100-35</t>
  </si>
  <si>
    <t>Рабочий среднего разряда 3.5</t>
  </si>
  <si>
    <t>91.17.04-042</t>
  </si>
  <si>
    <t>ФСЭМ-2001, 91.17.04-042, приказ Минстроя России №1039/пр от 30.12.2016г.</t>
  </si>
  <si>
    <t>Аппарат для газовой сварки и резки</t>
  </si>
  <si>
    <t>01.3.02.03-0001</t>
  </si>
  <si>
    <t>ФССЦ-2001, 01.3.02.03-0001, приказ Минстроя России №1039/пр от 30.12.2016г.</t>
  </si>
  <si>
    <t>Ацетилен газообразный технический</t>
  </si>
  <si>
    <t>01.3.02.08-0001</t>
  </si>
  <si>
    <t>ФССЦ-2001, 01.3.02.08-0001, приказ Минстроя России №1039/пр от 30.12.2016г.</t>
  </si>
  <si>
    <t>Кислород технический газообразный</t>
  </si>
  <si>
    <t>01.3.05.16-0022</t>
  </si>
  <si>
    <t>ФССЦ-2001, 01.3.05.16-0022, приказ Минстроя России №1039/пр от 30.12.2016г.</t>
  </si>
  <si>
    <t>Карбид кальция для кусков 50/80</t>
  </si>
  <si>
    <t>01.7.11.07-0032</t>
  </si>
  <si>
    <t>ФССЦ-2001, 01.7.11.07-0032, приказ Минстроя России №1039/пр от 30.12.2016г.</t>
  </si>
  <si>
    <t>Электроды диаметром 4 мм Э42</t>
  </si>
  <si>
    <t>1-100-36</t>
  </si>
  <si>
    <t>Рабочий среднего разряда 3.6</t>
  </si>
  <si>
    <t>91.10.09-012</t>
  </si>
  <si>
    <t>ФСЭМ-2001, 91.10.09-012, приказ Минстроя России №1039/пр от 30.12.2016г.</t>
  </si>
  <si>
    <t>Установки для гидравлических испытаний трубопроводов, давление нагнетания низкое 0,1 МПа (1 кгс/см2), высокое 10 МПа (100 кгс/см2) при работе от передвижных электростанций</t>
  </si>
  <si>
    <t>91.16.01-002</t>
  </si>
  <si>
    <t>ФСЭМ-2001, 91.16.01-002, приказ Минстроя России №1039/пр от 30.12.2016г.</t>
  </si>
  <si>
    <t>Электростанции передвижные, мощность 4 кВт</t>
  </si>
  <si>
    <t>01.7.19.02-0021</t>
  </si>
  <si>
    <t>ФССЦ-2001, 01.7.19.02-0021, приказ Минстроя России №1039/пр от 30.12.2016г.</t>
  </si>
  <si>
    <t>Кольца резиновые для водопроводных асбестоцементных труб</t>
  </si>
  <si>
    <t>1-100-33</t>
  </si>
  <si>
    <t>Рабочий среднего разряда 3.3</t>
  </si>
  <si>
    <t>1-100-44</t>
  </si>
  <si>
    <t>Рабочий среднего разряда 4.4</t>
  </si>
  <si>
    <t>91.06.06-048</t>
  </si>
  <si>
    <t>ФСЭМ-2001, 91.06.06-048, приказ Минстроя России №1039/пр от 30.12.2016г.</t>
  </si>
  <si>
    <t>Подъемники одномачтовые, грузоподъемность до 500 кг, высота подъема 45 м</t>
  </si>
  <si>
    <t>91.21.22-421</t>
  </si>
  <si>
    <t>ФСЭМ-2001, 91.21.22-421, приказ Минстроя России №1039/пр от 30.12.2016г.</t>
  </si>
  <si>
    <t>Термос 100 л</t>
  </si>
  <si>
    <t>91.21.22-446</t>
  </si>
  <si>
    <t>ФСЭМ-2001, 91.21.22-446, приказ Минстроя России №1039/пр от 30.12.2016г.</t>
  </si>
  <si>
    <t>Установки для сварки полиэтиленовой пленки</t>
  </si>
  <si>
    <t>01.2.03.03-0062</t>
  </si>
  <si>
    <t>ФССЦ-2001, 01.2.03.03-0062, приказ Минстроя России №1039/пр от 30.12.2016г.</t>
  </si>
  <si>
    <t>Мастика битумно-резиновая кровельная</t>
  </si>
  <si>
    <t>01.3.01.01-0001</t>
  </si>
  <si>
    <t>ФССЦ-2001, 01.3.01.01-0001, приказ Минстроя России №1039/пр от 30.12.2016г.</t>
  </si>
  <si>
    <t>Бензин авиационный Б-70</t>
  </si>
  <si>
    <t>01.7.07.12-0021</t>
  </si>
  <si>
    <t>ФССЦ-2001, 01.7.07.12-0021, приказ Минстроя России №1039/пр от 30.12.2016г.</t>
  </si>
  <si>
    <t>Пленка полиэтиленовая толщиной 0,2-0,5 мм</t>
  </si>
  <si>
    <t>01.7.20.08-0051</t>
  </si>
  <si>
    <t>ФССЦ-2001, 01.7.20.08-0051, приказ Минстроя России №1039/пр от 30.12.2016г.</t>
  </si>
  <si>
    <t>Ветошь</t>
  </si>
  <si>
    <t>12.1.02.06-0021</t>
  </si>
  <si>
    <t>ФССЦ-2001, 12.1.02.06-0021, приказ Минстроя России №1039/пр от 30.12.2016г.</t>
  </si>
  <si>
    <t>Рубероид кровельный с мелкой посыпкой РМ-350</t>
  </si>
  <si>
    <t>14.2.06.02-0001</t>
  </si>
  <si>
    <t>ФССЦ-2001, 14.2.06.02-0001, приказ Минстроя России №1039/пр от 30.12.2016г.</t>
  </si>
  <si>
    <t>Бутилкаучук, марка А</t>
  </si>
  <si>
    <t>14.4.03.03-0104</t>
  </si>
  <si>
    <t>ФССЦ-2001, 14.4.03.03-0104, приказ Минстроя России №1039/пр от 30.12.2016г.</t>
  </si>
  <si>
    <t>Лак БТ-783</t>
  </si>
  <si>
    <t>14.5.09.01-0001</t>
  </si>
  <si>
    <t>ФССЦ-2001, 14.5.09.01-0001, приказ Минстроя России №1039/пр от 30.12.2016г.</t>
  </si>
  <si>
    <t>Ацетон технический, сорт I</t>
  </si>
  <si>
    <t>1-100-39</t>
  </si>
  <si>
    <t>Рабочий среднего разряда 3.9</t>
  </si>
  <si>
    <t>91.08.04-021</t>
  </si>
  <si>
    <t>ФСЭМ-2001, 91.08.04-021, приказ Минстроя России №1039/пр от 30.12.2016г.</t>
  </si>
  <si>
    <t>Котлы битумные передвижные 400 л</t>
  </si>
  <si>
    <t>01.2.01.02-0054</t>
  </si>
  <si>
    <t>ФССЦ-2001, 01.2.01.02-0054, приказ Минстроя России №1039/пр от 30.12.2016г.</t>
  </si>
  <si>
    <t>Битумы нефтяные строительные марки БН-90/10</t>
  </si>
  <si>
    <t>01.2.03.03-0013</t>
  </si>
  <si>
    <t>ФССЦ-2001, 01.2.03.03-0013, приказ Минстроя России №1039/пр от 30.12.2016г.</t>
  </si>
  <si>
    <t>Мастика битумная кровельная горячая</t>
  </si>
  <si>
    <t>01.3.01.03-0002</t>
  </si>
  <si>
    <t>ФССЦ-2001, 01.3.01.03-0002, приказ Минстроя России №1039/пр от 30.12.2016г.</t>
  </si>
  <si>
    <t>Керосин для технических целей марок КТ-1, КТ-2</t>
  </si>
  <si>
    <t>1-100-38</t>
  </si>
  <si>
    <t>Рабочий среднего разряда 3.8</t>
  </si>
  <si>
    <t>91.06.06-042</t>
  </si>
  <si>
    <t>ФСЭМ-2001, 91.06.06-042, приказ Минстроя России №1039/пр от 30.12.2016г.</t>
  </si>
  <si>
    <t>Подъемники гидравлические высотой подъема: 10 м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</si>
  <si>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</si>
  <si>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</si>
  <si>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</si>
  <si>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01.7.15.07-0014</t>
  </si>
  <si>
    <t>ФССЦ-2001, 01.7.15.07-0014, приказ Минстроя России №1039/пр от 30.12.2016г.</t>
  </si>
  <si>
    <t>Дюбели распорные полипропиленовые</t>
  </si>
  <si>
    <t>100 шт.</t>
  </si>
  <si>
    <t>20.2.08.07-0033</t>
  </si>
  <si>
    <t>ФССЦ-2001, 20.2.08.07-0033, приказ Минстроя России №1039/пр от 30.12.2016г.</t>
  </si>
  <si>
    <t>Скоба: У1078</t>
  </si>
  <si>
    <t>14.4.02.09-0301</t>
  </si>
  <si>
    <t>ФССЦ-2001, 14.4.02.09-0301, приказ Минстроя России №1039/пр от 30.12.2016г.</t>
  </si>
  <si>
    <t>Краска "Цинол"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</si>
  <si>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</si>
  <si>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</si>
  <si>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</si>
  <si>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</si>
  <si>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2-200-40</t>
  </si>
  <si>
    <t>Электромонтажник-наладчик, разряд IV</t>
  </si>
  <si>
    <t>2-400-30</t>
  </si>
  <si>
    <t>Инженер по наладке и испытаниям, категория III</t>
  </si>
  <si>
    <t>2-400-20</t>
  </si>
  <si>
    <t>Инженер по наладке и испытаниям, категория II</t>
  </si>
  <si>
    <t>2-200-50</t>
  </si>
  <si>
    <t>Электромонтажник-наладчик, разряд V</t>
  </si>
  <si>
    <t>2-200-60</t>
  </si>
  <si>
    <t>Электромонтажник-наладчик, разряд VI</t>
  </si>
  <si>
    <t>1-100-22</t>
  </si>
  <si>
    <t>Рабочий среднего разряда 2.2</t>
  </si>
  <si>
    <t>16.2.01.02-0002</t>
  </si>
  <si>
    <t>ФССЦ-2001, 16.2.01.02-0002, приказ Минстроя России №1039/пр от 30.12.2016г.</t>
  </si>
  <si>
    <t>Земля растительная механизированной заготовки</t>
  </si>
  <si>
    <t>91.12.07-021</t>
  </si>
  <si>
    <t>ФСЭМ-2001, 91.12.07-021, приказ Минстроя России №1039/пр от 30.12.2016г.</t>
  </si>
  <si>
    <t>Сеялки прицепные</t>
  </si>
  <si>
    <t>91.15.03-014</t>
  </si>
  <si>
    <t>ФСЭМ-2001, 91.15.03-014, приказ Минстроя России №1039/пр от 30.12.2016г.</t>
  </si>
  <si>
    <t>Тракторы на пневмоколесном ходу, мощность 59 кВт (80 л.с.)</t>
  </si>
  <si>
    <t>1-100-10</t>
  </si>
  <si>
    <t>Рабочий среднего разряда 1</t>
  </si>
  <si>
    <t>02.3.01.02</t>
  </si>
  <si>
    <t>Песок для строительных работ природный</t>
  </si>
  <si>
    <t>04.1.02.06</t>
  </si>
  <si>
    <t>Бетон</t>
  </si>
  <si>
    <t>05.1.08.14</t>
  </si>
  <si>
    <t>Конструкции сборные железобетонные</t>
  </si>
  <si>
    <t>Бетонные смеси готовые к употреблению</t>
  </si>
  <si>
    <t>08.4.03.04</t>
  </si>
  <si>
    <t>Арматура</t>
  </si>
  <si>
    <t>23.3.10.02</t>
  </si>
  <si>
    <t>Трубы стальные</t>
  </si>
  <si>
    <t>04.3.01.03</t>
  </si>
  <si>
    <t>Раствор асбоцементный</t>
  </si>
  <si>
    <t>23.8.05.15</t>
  </si>
  <si>
    <t>Части фасонные чугунные соединительные</t>
  </si>
  <si>
    <t>24.2.05.01</t>
  </si>
  <si>
    <t>Трубы хризотилцементные</t>
  </si>
  <si>
    <t>07.2.07.13</t>
  </si>
  <si>
    <t>Конструкции стальные</t>
  </si>
  <si>
    <t>02.2.05.04</t>
  </si>
  <si>
    <t>Щебень</t>
  </si>
  <si>
    <t>16.2.02.07</t>
  </si>
  <si>
    <t>Семена</t>
  </si>
  <si>
    <t>Поправка: Прил. 1.12, п.3. 50  Наименование: Разработка вязких грунтов повышенной влажности, сильно налипающих на стенки и зубья ковша одноковшовых экскаваторов, с одновременным применением щитов под экскаваторы и сланей под автосамосвалы при глинистой подошве</t>
  </si>
  <si>
    <t>(наименование стройки)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</si>
  <si>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</si>
  <si>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</si>
  <si>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</si>
  <si>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</si>
  <si>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 руб.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</si>
  <si>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</si>
  <si>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</si>
  <si>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</si>
  <si>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</si>
  <si>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</si>
  <si>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чел. -ч.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</si>
  <si>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</si>
  <si>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</si>
  <si>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</si>
  <si>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</si>
  <si>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</si>
  <si>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</si>
  <si>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</si>
  <si>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</si>
  <si>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</si>
  <si>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</si>
  <si>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</si>
  <si>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</si>
  <si>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</si>
  <si>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Составлена в ценах РСЦ с 1.09.2017г.</t>
  </si>
  <si>
    <t>Зарплата</t>
  </si>
  <si>
    <t>НР от ФОТ</t>
  </si>
  <si>
    <t>%</t>
  </si>
  <si>
    <t>СП от ФОТ</t>
  </si>
  <si>
    <t>Затраты труда</t>
  </si>
  <si>
    <t>чел-ч</t>
  </si>
  <si>
    <t>в т.ч. зарплата машинистов</t>
  </si>
  <si>
    <t>Материальные ресурсы</t>
  </si>
  <si>
    <t>ОБОРУДОВАНИЕ:
Комплектная трансформаторная подстанция 6/0,4кВ городских сетей   2КТПНУ  630/6/0,4-УХЛ1 . РУ 0,4кВ ЩО70 -7шт;  РУ ВН 10кВ КСО 393-8шт;  с учетом доставки  ООО "ПКФ Электрощит"  г. Воронеж Прив цена= 2232570/1,18/3,93</t>
  </si>
  <si>
    <t>ОБОРУДОВАНИЕ:
Трансформатор ТМГ 21  -630/6,0/0,4кВ ( Минский ЭТЗ)  г. Воронеж Прив цена= 325971/1,18/3,93</t>
  </si>
  <si>
    <t xml:space="preserve">   </t>
  </si>
  <si>
    <t xml:space="preserve">Составил  </t>
  </si>
  <si>
    <t>[должность,подпись(инициалы,фамилия)]</t>
  </si>
  <si>
    <t xml:space="preserve">Проверил  </t>
  </si>
  <si>
    <t xml:space="preserve"> ЛОКАЛЬНЫЙ СМЕТНЫЙ РАСЧЕТ №01/11-17</t>
  </si>
  <si>
    <t>Проект 2016-12ЭС1</t>
  </si>
  <si>
    <t>прайс-лист</t>
  </si>
  <si>
    <r>
      <t>ФЕР-2001, 01-01-013-08, приказ Минстроя России №1039/пр от 30.12.2016г.</t>
    </r>
    <r>
      <rPr>
        <i/>
        <sz val="8"/>
        <rFont val="Times New Roman"/>
        <family val="1"/>
      </rPr>
      <t xml:space="preserve">
Поправка: Прил. 1.12, п.3. 50</t>
    </r>
  </si>
  <si>
    <r>
      <t>Разработка грунта с погрузкой на автомобили-самосвалы экскаваторами с ковшом вместимостью 0,65 (0,5-1) м3, группа грунтов 2</t>
    </r>
    <r>
      <rPr>
        <i/>
        <sz val="8"/>
        <rFont val="Times New Roman"/>
        <family val="1"/>
      </rPr>
      <t xml:space="preserve">
Поправка: Прил. 1.12, п.3. 50  Наименование: Разработка вязких грунтов повышенной влажности, сильно налипающих на стенки и зубья ковша одноковшовых экскаваторов, с одновременным применением щитов под экскаваторы и сланей под автосамосвалы при глинистой подошве</t>
    </r>
  </si>
  <si>
    <r>
      <t>ФЕР-2001, 01-02-055-02, приказ Минстроя России №1039/пр от 30.12.2016г.</t>
    </r>
    <r>
      <rPr>
        <i/>
        <sz val="8"/>
        <rFont val="Times New Roman"/>
        <family val="1"/>
      </rPr>
      <t xml:space="preserve">
Поправка: Прил. 1.12, п.3.184.</t>
    </r>
  </si>
  <si>
    <r>
      <t>Доработка грунта вручную с креплениями в траншеях шириной до 2 м, глубиной до 2 м, группа грунтов 2</t>
    </r>
    <r>
      <rPr>
        <i/>
        <sz val="8"/>
        <rFont val="Times New Roman"/>
        <family val="1"/>
      </rPr>
      <t xml:space="preserve">
Поправка: Прил. 1.12, п.3.184.  Наименование: Разработка и обратная засыпка вручную сильно налипающего на инструменты грунта 2 группы</t>
    </r>
  </si>
  <si>
    <r>
      <t>Подрядчик</t>
    </r>
    <r>
      <rPr>
        <b/>
        <i/>
        <sz val="11"/>
        <rFont val="Arial"/>
        <family val="2"/>
      </rPr>
      <t xml:space="preserve">: </t>
    </r>
  </si>
  <si>
    <r>
      <t xml:space="preserve">Заказчик: </t>
    </r>
    <r>
      <rPr>
        <b/>
        <i/>
        <sz val="11"/>
        <rFont val="Arial"/>
        <family val="2"/>
      </rPr>
      <t xml:space="preserve"> </t>
    </r>
  </si>
  <si>
    <t>М.П.  "__ " ____________ 2017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</si>
</sst>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;[Red]\-\ #,##0.00"/>
    <numFmt numFmtId="185" formatCode="#,##0.00####;[Red]\-\ #,##0.00####"/>
    <numFmt numFmtId="186" formatCode="#,##0.0;[Red]\-\ #,##0.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5"/>
      <name val="Times New Roman"/>
      <family val="1"/>
    </font>
    <font>
      <i/>
      <sz val="8"/>
      <color indexed="25"/>
      <name val="Times New Roman"/>
      <family val="1"/>
    </font>
    <font>
      <b/>
      <sz val="8"/>
      <color indexed="25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821E82"/>
      <name val="Times New Roman"/>
      <family val="1"/>
    </font>
    <font>
      <i/>
      <sz val="8"/>
      <color rgb="FF821E82"/>
      <name val="Times New Roman"/>
      <family val="1"/>
    </font>
    <font>
      <b/>
      <sz val="8"/>
      <color rgb="FF821E8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4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185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 wrapText="1"/>
    </xf>
    <xf numFmtId="186" fontId="12" fillId="0" borderId="10" xfId="0" applyNumberFormat="1" applyFont="1" applyBorder="1" applyAlignment="1">
      <alignment horizontal="right"/>
    </xf>
    <xf numFmtId="186" fontId="12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185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 quotePrefix="1">
      <alignment horizontal="right" wrapText="1"/>
    </xf>
    <xf numFmtId="0" fontId="13" fillId="0" borderId="0" xfId="0" applyFont="1" applyAlignment="1">
      <alignment horizontal="left" wrapText="1"/>
    </xf>
    <xf numFmtId="0" fontId="55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right" wrapText="1"/>
    </xf>
    <xf numFmtId="0" fontId="55" fillId="0" borderId="10" xfId="0" applyFont="1" applyBorder="1" applyAlignment="1">
      <alignment horizontal="right"/>
    </xf>
    <xf numFmtId="185" fontId="55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horizontal="right" wrapText="1"/>
    </xf>
    <xf numFmtId="186" fontId="55" fillId="0" borderId="10" xfId="0" applyNumberFormat="1" applyFont="1" applyBorder="1" applyAlignment="1">
      <alignment horizontal="right"/>
    </xf>
    <xf numFmtId="0" fontId="55" fillId="0" borderId="10" xfId="0" applyFont="1" applyBorder="1" applyAlignment="1" quotePrefix="1">
      <alignment horizontal="right" wrapText="1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/>
    </xf>
    <xf numFmtId="185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186" fontId="12" fillId="0" borderId="0" xfId="0" applyNumberFormat="1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185" fontId="12" fillId="0" borderId="0" xfId="0" applyNumberFormat="1" applyFont="1" applyBorder="1" applyAlignment="1">
      <alignment horizontal="left"/>
    </xf>
    <xf numFmtId="0" fontId="12" fillId="0" borderId="15" xfId="0" applyFont="1" applyBorder="1" applyAlignment="1">
      <alignment horizontal="left" vertical="top"/>
    </xf>
    <xf numFmtId="184" fontId="12" fillId="0" borderId="16" xfId="0" applyNumberFormat="1" applyFont="1" applyBorder="1" applyAlignment="1">
      <alignment horizontal="right"/>
    </xf>
    <xf numFmtId="184" fontId="13" fillId="0" borderId="14" xfId="0" applyNumberFormat="1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3" fillId="0" borderId="0" xfId="0" applyFont="1" applyBorder="1" applyAlignment="1">
      <alignment/>
    </xf>
    <xf numFmtId="186" fontId="15" fillId="0" borderId="0" xfId="0" applyNumberFormat="1" applyFont="1" applyBorder="1" applyAlignment="1">
      <alignment horizontal="right"/>
    </xf>
    <xf numFmtId="0" fontId="55" fillId="0" borderId="15" xfId="0" applyFont="1" applyBorder="1" applyAlignment="1">
      <alignment horizontal="left" vertical="top"/>
    </xf>
    <xf numFmtId="0" fontId="55" fillId="0" borderId="16" xfId="0" applyFont="1" applyBorder="1" applyAlignment="1">
      <alignment horizontal="right"/>
    </xf>
    <xf numFmtId="0" fontId="55" fillId="0" borderId="13" xfId="0" applyFont="1" applyBorder="1" applyAlignment="1">
      <alignment/>
    </xf>
    <xf numFmtId="0" fontId="55" fillId="0" borderId="0" xfId="0" applyFont="1" applyBorder="1" applyAlignment="1">
      <alignment/>
    </xf>
    <xf numFmtId="184" fontId="57" fillId="0" borderId="14" xfId="0" applyNumberFormat="1" applyFont="1" applyBorder="1" applyAlignment="1">
      <alignment horizontal="right"/>
    </xf>
    <xf numFmtId="184" fontId="12" fillId="0" borderId="14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 wrapText="1"/>
    </xf>
    <xf numFmtId="0" fontId="12" fillId="0" borderId="15" xfId="0" applyFont="1" applyBorder="1" applyAlignment="1">
      <alignment/>
    </xf>
    <xf numFmtId="0" fontId="13" fillId="0" borderId="14" xfId="0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184" fontId="13" fillId="0" borderId="10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2" fillId="0" borderId="1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184" fontId="12" fillId="0" borderId="0" xfId="0" applyNumberFormat="1" applyFont="1" applyAlignment="1">
      <alignment horizontal="right"/>
    </xf>
    <xf numFmtId="184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186" fontId="12" fillId="0" borderId="0" xfId="0" applyNumberFormat="1" applyFont="1" applyBorder="1" applyAlignment="1">
      <alignment horizontal="right"/>
    </xf>
    <xf numFmtId="186" fontId="13" fillId="0" borderId="17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185" fontId="12" fillId="0" borderId="0" xfId="0" applyNumberFormat="1" applyFont="1" applyBorder="1" applyAlignment="1">
      <alignment horizontal="right"/>
    </xf>
    <xf numFmtId="186" fontId="57" fillId="0" borderId="17" xfId="0" applyNumberFormat="1" applyFont="1" applyBorder="1" applyAlignment="1">
      <alignment horizontal="right"/>
    </xf>
    <xf numFmtId="0" fontId="12" fillId="0" borderId="17" xfId="0" applyFont="1" applyBorder="1" applyAlignment="1">
      <alignment horizontal="center" vertical="top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186" fontId="13" fillId="0" borderId="0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184" fontId="13" fillId="0" borderId="0" xfId="0" applyNumberFormat="1" applyFont="1" applyBorder="1" applyAlignment="1">
      <alignment horizontal="right"/>
    </xf>
    <xf numFmtId="0" fontId="36" fillId="0" borderId="0" xfId="0" applyFont="1" applyAlignment="1">
      <alignment vertical="justify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9"/>
  <sheetViews>
    <sheetView tabSelected="1" zoomScalePageLayoutView="0" workbookViewId="0" topLeftCell="A1">
      <selection activeCell="A2" sqref="A2:IV4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37.57421875" style="0" customWidth="1"/>
    <col min="4" max="5" width="10.7109375" style="0" customWidth="1"/>
    <col min="6" max="6" width="11.7109375" style="0" customWidth="1"/>
    <col min="7" max="7" width="10.57421875" style="0" customWidth="1"/>
    <col min="8" max="8" width="10.140625" style="0" customWidth="1"/>
    <col min="9" max="9" width="11.7109375" style="0" customWidth="1"/>
    <col min="10" max="10" width="8.7109375" style="0" customWidth="1"/>
    <col min="11" max="11" width="12.00390625" style="0" customWidth="1"/>
    <col min="12" max="12" width="8.7109375" style="0" customWidth="1"/>
    <col min="15" max="29" width="0" style="0" hidden="1" customWidth="1"/>
    <col min="30" max="30" width="147.7109375" style="0" hidden="1" customWidth="1"/>
    <col min="31" max="31" width="160.7109375" style="0" hidden="1" customWidth="1"/>
    <col min="32" max="32" width="91.7109375" style="0" hidden="1" customWidth="1"/>
    <col min="33" max="36" width="0" style="0" hidden="1" customWidth="1"/>
  </cols>
  <sheetData>
    <row r="1" s="9" customFormat="1" ht="11.25">
      <c r="A1" s="9" t="str">
        <f>Source!B1</f>
        <v>Smeta.RU  (495) 974-1589</v>
      </c>
    </row>
    <row r="2" spans="1:11" s="100" customFormat="1" ht="14.25">
      <c r="A2" s="99" t="s">
        <v>779</v>
      </c>
      <c r="B2" s="99"/>
      <c r="C2" s="99"/>
      <c r="G2" s="101" t="s">
        <v>780</v>
      </c>
      <c r="H2" s="101"/>
      <c r="I2" s="101"/>
      <c r="J2" s="101"/>
      <c r="K2" s="101"/>
    </row>
    <row r="3" spans="1:9" s="100" customFormat="1" ht="14.25">
      <c r="A3" s="99"/>
      <c r="B3" s="102"/>
      <c r="C3" s="102"/>
      <c r="D3" s="102"/>
      <c r="G3" s="101"/>
      <c r="I3" s="101"/>
    </row>
    <row r="4" spans="1:11" s="100" customFormat="1" ht="14.25">
      <c r="A4" s="99" t="s">
        <v>781</v>
      </c>
      <c r="B4" s="102"/>
      <c r="C4" s="102"/>
      <c r="G4" s="101"/>
      <c r="H4" s="99" t="s">
        <v>781</v>
      </c>
      <c r="I4" s="102"/>
      <c r="J4" s="102"/>
      <c r="K4" s="102"/>
    </row>
    <row r="5" spans="1:12" s="9" customFormat="1" ht="11.25">
      <c r="A5" s="12"/>
      <c r="B5" s="73"/>
      <c r="C5" s="73"/>
      <c r="D5" s="73"/>
      <c r="E5" s="73"/>
      <c r="H5" s="73"/>
      <c r="I5" s="73"/>
      <c r="J5" s="73"/>
      <c r="K5" s="73"/>
      <c r="L5" s="73"/>
    </row>
    <row r="6" spans="1:12" s="9" customFormat="1" ht="26.25" customHeight="1">
      <c r="A6" s="12"/>
      <c r="B6" s="74" t="str">
        <f>B11</f>
        <v>Электроснабжение ООО "Клиника №1"  на земельном участке с кадастровым номером 40:27: 030101:47. Трансформаторная подстанция. Калужская обл. г. Обнинск, пр. Ленина, д.74В</v>
      </c>
      <c r="C6" s="74"/>
      <c r="D6" s="74"/>
      <c r="E6" s="74"/>
      <c r="F6" s="74"/>
      <c r="G6" s="74"/>
      <c r="H6" s="74"/>
      <c r="I6" s="74"/>
      <c r="J6" s="74"/>
      <c r="K6" s="74"/>
      <c r="L6" s="12"/>
    </row>
    <row r="7" spans="1:12" s="9" customFormat="1" ht="11.25">
      <c r="A7" s="14"/>
      <c r="B7" s="75" t="s">
        <v>732</v>
      </c>
      <c r="C7" s="75"/>
      <c r="D7" s="75"/>
      <c r="E7" s="75"/>
      <c r="F7" s="75"/>
      <c r="G7" s="75"/>
      <c r="H7" s="75"/>
      <c r="I7" s="75"/>
      <c r="J7" s="75"/>
      <c r="K7" s="75"/>
      <c r="L7" s="12"/>
    </row>
    <row r="8" spans="1:12" s="9" customFormat="1" ht="11.25">
      <c r="A8" s="15"/>
      <c r="B8" s="74" t="s">
        <v>772</v>
      </c>
      <c r="C8" s="74"/>
      <c r="D8" s="74"/>
      <c r="E8" s="74"/>
      <c r="F8" s="74"/>
      <c r="G8" s="74"/>
      <c r="H8" s="74"/>
      <c r="I8" s="74"/>
      <c r="J8" s="74"/>
      <c r="K8" s="74"/>
      <c r="L8" s="15"/>
    </row>
    <row r="9" spans="1:12" s="9" customFormat="1" ht="11.25" hidden="1">
      <c r="A9" s="15"/>
      <c r="B9" s="74">
        <f>IF(Source!G20&lt;&gt;"Новая локальная смета",Source!G20,"")</f>
      </c>
      <c r="C9" s="74"/>
      <c r="D9" s="74"/>
      <c r="E9" s="74"/>
      <c r="F9" s="74"/>
      <c r="G9" s="74"/>
      <c r="H9" s="74"/>
      <c r="I9" s="74"/>
      <c r="J9" s="74"/>
      <c r="K9" s="74"/>
      <c r="L9" s="15"/>
    </row>
    <row r="10" s="9" customFormat="1" ht="11.25" hidden="1"/>
    <row r="11" spans="2:30" s="9" customFormat="1" ht="21" customHeight="1">
      <c r="B11" s="76" t="str">
        <f>IF(Source!G12&lt;&gt;"Новый объект",Source!G12,"")</f>
        <v>Электроснабжение ООО "Клиника №1"  на земельном участке с кадастровым номером 40:27: 030101:47. Трансформаторная подстанция. Калужская обл. г. Обнинск, пр. Ленина, д.74В</v>
      </c>
      <c r="C11" s="76"/>
      <c r="D11" s="76"/>
      <c r="E11" s="76"/>
      <c r="F11" s="76"/>
      <c r="G11" s="76"/>
      <c r="H11" s="76"/>
      <c r="I11" s="76"/>
      <c r="J11" s="76"/>
      <c r="K11" s="76"/>
      <c r="L11" s="17"/>
      <c r="AD11" s="16" t="str">
        <f>IF(Source!G12&lt;&gt;"Новый объект",Source!G12,"")</f>
        <v>Электроснабжение ООО "Клиника №1"  на земельном участке с кадастровым номером 40:27: 030101:47. Трансформаторная подстанция. Калужская обл. г. Обнинск, пр. Ленина, д.74В</v>
      </c>
    </row>
    <row r="12" spans="2:12" s="9" customFormat="1" ht="11.25">
      <c r="B12" s="77" t="s">
        <v>733</v>
      </c>
      <c r="C12" s="77"/>
      <c r="D12" s="77"/>
      <c r="E12" s="77"/>
      <c r="F12" s="77"/>
      <c r="G12" s="77"/>
      <c r="H12" s="77"/>
      <c r="I12" s="77"/>
      <c r="J12" s="77"/>
      <c r="K12" s="77"/>
      <c r="L12" s="12"/>
    </row>
    <row r="13" spans="1:12" s="9" customFormat="1" ht="11.25">
      <c r="A13" s="78" t="str">
        <f>CONCATENATE("Основание: ",Source!J20)</f>
        <v>Основание: 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="9" customFormat="1" ht="11.25">
      <c r="C14" s="9" t="s">
        <v>773</v>
      </c>
    </row>
    <row r="15" spans="5:10" s="9" customFormat="1" ht="11.25">
      <c r="E15" s="18"/>
      <c r="F15" s="18"/>
      <c r="G15" s="79" t="s">
        <v>734</v>
      </c>
      <c r="H15" s="79"/>
      <c r="I15" s="79" t="s">
        <v>735</v>
      </c>
      <c r="J15" s="79"/>
    </row>
    <row r="16" spans="3:12" s="9" customFormat="1" ht="11.25">
      <c r="C16" s="80" t="s">
        <v>736</v>
      </c>
      <c r="D16" s="80"/>
      <c r="E16" s="80"/>
      <c r="F16" s="80"/>
      <c r="G16" s="81">
        <f>SUM(O26:O477)/1000</f>
        <v>691.1458000000002</v>
      </c>
      <c r="H16" s="81"/>
      <c r="I16" s="82">
        <f>(K494/1000)</f>
        <v>3666.394402</v>
      </c>
      <c r="J16" s="82"/>
      <c r="K16" s="83" t="s">
        <v>737</v>
      </c>
      <c r="L16" s="83"/>
    </row>
    <row r="17" spans="3:12" s="9" customFormat="1" ht="11.25">
      <c r="C17" s="84" t="s">
        <v>738</v>
      </c>
      <c r="D17" s="84"/>
      <c r="E17" s="84"/>
      <c r="F17" s="84"/>
      <c r="G17" s="81">
        <f>SUM(W26:W477)/1000</f>
        <v>54.322500000000005</v>
      </c>
      <c r="H17" s="81"/>
      <c r="I17" s="81">
        <f>(Source!F352)/1000</f>
        <v>450.9372</v>
      </c>
      <c r="J17" s="81"/>
      <c r="K17" s="85" t="s">
        <v>737</v>
      </c>
      <c r="L17" s="85"/>
    </row>
    <row r="18" spans="3:12" s="9" customFormat="1" ht="11.25">
      <c r="C18" s="84" t="s">
        <v>739</v>
      </c>
      <c r="D18" s="84"/>
      <c r="E18" s="84"/>
      <c r="F18" s="84"/>
      <c r="G18" s="81">
        <f>SUM(X26:X477)/1000</f>
        <v>7.435899999999999</v>
      </c>
      <c r="H18" s="81"/>
      <c r="I18" s="81">
        <f>(Source!F353)/1000</f>
        <v>77.3667</v>
      </c>
      <c r="J18" s="81"/>
      <c r="K18" s="85" t="s">
        <v>737</v>
      </c>
      <c r="L18" s="85"/>
    </row>
    <row r="19" spans="3:12" s="9" customFormat="1" ht="11.25">
      <c r="C19" s="84" t="s">
        <v>740</v>
      </c>
      <c r="D19" s="84"/>
      <c r="E19" s="84"/>
      <c r="F19" s="84"/>
      <c r="G19" s="81">
        <f>SUM(Y26:Y477)/1000</f>
        <v>622.0106</v>
      </c>
      <c r="H19" s="81"/>
      <c r="I19" s="81">
        <f>(Source!F344)/1000</f>
        <v>2444.5017000000003</v>
      </c>
      <c r="J19" s="81"/>
      <c r="K19" s="85" t="s">
        <v>737</v>
      </c>
      <c r="L19" s="85"/>
    </row>
    <row r="20" spans="3:12" s="9" customFormat="1" ht="11.25">
      <c r="C20" s="84" t="s">
        <v>741</v>
      </c>
      <c r="D20" s="84"/>
      <c r="E20" s="84"/>
      <c r="F20" s="84"/>
      <c r="G20" s="81">
        <f>SUM(Z26:Z477)/1000</f>
        <v>7.376800000000001</v>
      </c>
      <c r="H20" s="81"/>
      <c r="I20" s="81">
        <f>(Source!F354+Source!F355)/1000</f>
        <v>134.30829999999997</v>
      </c>
      <c r="J20" s="81"/>
      <c r="K20" s="85" t="s">
        <v>737</v>
      </c>
      <c r="L20" s="85"/>
    </row>
    <row r="21" spans="3:12" s="9" customFormat="1" ht="11.25">
      <c r="C21" s="80" t="s">
        <v>742</v>
      </c>
      <c r="D21" s="80"/>
      <c r="E21" s="80"/>
      <c r="F21" s="80"/>
      <c r="G21" s="81">
        <f>I21</f>
        <v>863.94511</v>
      </c>
      <c r="H21" s="81"/>
      <c r="I21" s="81">
        <f>(Source!F357+Source!F358)</f>
        <v>863.94511</v>
      </c>
      <c r="J21" s="81"/>
      <c r="K21" s="85" t="s">
        <v>743</v>
      </c>
      <c r="L21" s="85"/>
    </row>
    <row r="22" spans="3:12" s="9" customFormat="1" ht="11.25">
      <c r="C22" s="80" t="s">
        <v>744</v>
      </c>
      <c r="D22" s="80"/>
      <c r="E22" s="80"/>
      <c r="F22" s="80"/>
      <c r="G22" s="81">
        <f>SUM(R26:R477)/1000</f>
        <v>8.975700000000003</v>
      </c>
      <c r="H22" s="81"/>
      <c r="I22" s="81">
        <f>(Source!F350+Source!F349)/1000</f>
        <v>179.158</v>
      </c>
      <c r="J22" s="81"/>
      <c r="K22" s="85" t="s">
        <v>737</v>
      </c>
      <c r="L22" s="85"/>
    </row>
    <row r="23" spans="1:12" s="9" customFormat="1" ht="11.25">
      <c r="A23" s="88" t="s">
        <v>757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2" s="9" customFormat="1" ht="33.75">
      <c r="A24" s="19" t="s">
        <v>745</v>
      </c>
      <c r="B24" s="19" t="s">
        <v>746</v>
      </c>
      <c r="C24" s="19" t="s">
        <v>747</v>
      </c>
      <c r="D24" s="19" t="s">
        <v>748</v>
      </c>
      <c r="E24" s="19" t="s">
        <v>749</v>
      </c>
      <c r="F24" s="19" t="s">
        <v>750</v>
      </c>
      <c r="G24" s="19" t="s">
        <v>751</v>
      </c>
      <c r="H24" s="19" t="s">
        <v>752</v>
      </c>
      <c r="I24" s="19" t="s">
        <v>753</v>
      </c>
      <c r="J24" s="19" t="s">
        <v>754</v>
      </c>
      <c r="K24" s="19" t="s">
        <v>755</v>
      </c>
      <c r="L24" s="19" t="s">
        <v>756</v>
      </c>
    </row>
    <row r="25" spans="1:12" s="9" customFormat="1" ht="11.25">
      <c r="A25" s="20">
        <v>1</v>
      </c>
      <c r="B25" s="20">
        <v>2</v>
      </c>
      <c r="C25" s="20">
        <v>3</v>
      </c>
      <c r="D25" s="20">
        <v>4</v>
      </c>
      <c r="E25" s="20">
        <v>5</v>
      </c>
      <c r="F25" s="20">
        <v>6</v>
      </c>
      <c r="G25" s="20">
        <v>7</v>
      </c>
      <c r="H25" s="20">
        <v>8</v>
      </c>
      <c r="I25" s="20">
        <v>9</v>
      </c>
      <c r="J25" s="20">
        <v>10</v>
      </c>
      <c r="K25" s="20">
        <v>11</v>
      </c>
      <c r="L25" s="21">
        <v>12</v>
      </c>
    </row>
    <row r="26" spans="1:12" s="9" customFormat="1" ht="11.25">
      <c r="A26" s="43"/>
      <c r="B26" s="97" t="str">
        <f>Source!G24</f>
        <v>Строительство и реконструкция</v>
      </c>
      <c r="C26" s="97"/>
      <c r="D26" s="97"/>
      <c r="E26" s="97"/>
      <c r="F26" s="97"/>
      <c r="G26" s="97"/>
      <c r="H26" s="97"/>
      <c r="I26" s="97"/>
      <c r="J26" s="97"/>
      <c r="K26" s="97"/>
      <c r="L26" s="44"/>
    </row>
    <row r="27" spans="1:12" s="9" customFormat="1" ht="11.25">
      <c r="A27" s="92" t="str">
        <f>CONCATENATE("Раздел: ",IF(Source!G26&lt;&gt;"Новый раздел",Source!G26,""))</f>
        <v>Раздел: Вырубка кустарников-10м3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93"/>
    </row>
    <row r="28" spans="1:22" s="9" customFormat="1" ht="78.75">
      <c r="A28" s="45" t="str">
        <f>Source!E30</f>
        <v>1</v>
      </c>
      <c r="B28" s="46" t="str">
        <f>Source!BJ30</f>
        <v>ФЕР-2001, 01-02-119-02, приказ Минстроя России №1039/пр от 30.12.2016г.</v>
      </c>
      <c r="C28" s="46" t="str">
        <f>Source!G30</f>
        <v>Расчистка площадей от кустарника и мелколесья вручную при средней поросли</v>
      </c>
      <c r="D28" s="47" t="str">
        <f>Source!H30</f>
        <v>100 м2</v>
      </c>
      <c r="E28" s="48">
        <f>Source!I30</f>
        <v>1.05</v>
      </c>
      <c r="F28" s="49">
        <f>Source!AL30+Source!AM30+Source!AO30</f>
        <v>37.79</v>
      </c>
      <c r="G28" s="50"/>
      <c r="H28" s="51"/>
      <c r="I28" s="50" t="str">
        <f>Source!BO30</f>
        <v>РСЦ с 1.09.2017г.</v>
      </c>
      <c r="J28" s="50"/>
      <c r="K28" s="51"/>
      <c r="L28" s="52"/>
      <c r="S28" s="9">
        <f>ROUND((Source!FX30/100)*((ROUND(Source!AF30*Source!I30,1)+ROUND(Source!AE30*Source!I30,1))),1)</f>
        <v>31.8</v>
      </c>
      <c r="T28" s="9">
        <f>Source!X30</f>
        <v>538.6</v>
      </c>
      <c r="U28" s="9">
        <f>ROUND((Source!FY30/100)*((ROUND(Source!AF30*Source!I30,1)+ROUND(Source!AE30*Source!I30,1))),1)</f>
        <v>17.9</v>
      </c>
      <c r="V28" s="9">
        <f>Source!Y30</f>
        <v>285.1</v>
      </c>
    </row>
    <row r="29" spans="1:18" s="9" customFormat="1" ht="11.25">
      <c r="A29" s="45"/>
      <c r="B29" s="46"/>
      <c r="C29" s="46" t="s">
        <v>758</v>
      </c>
      <c r="D29" s="47"/>
      <c r="E29" s="48"/>
      <c r="F29" s="49">
        <f>Source!AO30</f>
        <v>37.79</v>
      </c>
      <c r="G29" s="50">
        <f>Source!DG30</f>
      </c>
      <c r="H29" s="51">
        <f>ROUND(Source!AF30*Source!I30,1)</f>
        <v>39.7</v>
      </c>
      <c r="I29" s="50"/>
      <c r="J29" s="50">
        <f>IF(Source!BA30&lt;&gt;0,Source!BA30,1)</f>
        <v>19.96</v>
      </c>
      <c r="K29" s="51">
        <f>Source!S30</f>
        <v>792</v>
      </c>
      <c r="L29" s="52"/>
      <c r="R29" s="9">
        <f>H29</f>
        <v>39.7</v>
      </c>
    </row>
    <row r="30" spans="1:12" s="9" customFormat="1" ht="11.25">
      <c r="A30" s="45"/>
      <c r="B30" s="46"/>
      <c r="C30" s="46" t="s">
        <v>759</v>
      </c>
      <c r="D30" s="47" t="s">
        <v>760</v>
      </c>
      <c r="E30" s="48">
        <f>Source!BZ30</f>
        <v>80</v>
      </c>
      <c r="F30" s="53"/>
      <c r="G30" s="50"/>
      <c r="H30" s="51">
        <f>SUM(S28:S32)</f>
        <v>31.8</v>
      </c>
      <c r="I30" s="50" t="str">
        <f>CONCATENATE(Source!FX30,Source!FV30,"=")</f>
        <v>80*0,85=</v>
      </c>
      <c r="J30" s="13">
        <f>Source!AT30</f>
        <v>68</v>
      </c>
      <c r="K30" s="51">
        <f>SUM(T28:T32)</f>
        <v>538.6</v>
      </c>
      <c r="L30" s="52"/>
    </row>
    <row r="31" spans="1:12" s="9" customFormat="1" ht="11.25">
      <c r="A31" s="45"/>
      <c r="B31" s="46"/>
      <c r="C31" s="46" t="s">
        <v>761</v>
      </c>
      <c r="D31" s="47" t="s">
        <v>760</v>
      </c>
      <c r="E31" s="48">
        <f>Source!CA30</f>
        <v>45</v>
      </c>
      <c r="F31" s="53"/>
      <c r="G31" s="50"/>
      <c r="H31" s="51">
        <f>SUM(U28:U32)</f>
        <v>17.9</v>
      </c>
      <c r="I31" s="50" t="str">
        <f>CONCATENATE(Source!FY30,Source!FW30,"=")</f>
        <v>45*0,8=</v>
      </c>
      <c r="J31" s="13">
        <f>Source!AU30</f>
        <v>36</v>
      </c>
      <c r="K31" s="51">
        <f>SUM(V28:V32)</f>
        <v>285.1</v>
      </c>
      <c r="L31" s="52"/>
    </row>
    <row r="32" spans="1:12" s="9" customFormat="1" ht="11.25">
      <c r="A32" s="54"/>
      <c r="B32" s="22"/>
      <c r="C32" s="22" t="s">
        <v>762</v>
      </c>
      <c r="D32" s="23" t="s">
        <v>763</v>
      </c>
      <c r="E32" s="24">
        <f>Source!AQ30</f>
        <v>4.43</v>
      </c>
      <c r="F32" s="25"/>
      <c r="G32" s="26">
        <f>Source!DI30</f>
      </c>
      <c r="H32" s="27"/>
      <c r="I32" s="26"/>
      <c r="J32" s="26"/>
      <c r="K32" s="27"/>
      <c r="L32" s="55">
        <f>Source!U30</f>
        <v>4.6514999999999995</v>
      </c>
    </row>
    <row r="33" spans="1:26" s="9" customFormat="1" ht="11.25">
      <c r="A33" s="43"/>
      <c r="B33" s="14"/>
      <c r="C33" s="14"/>
      <c r="D33" s="14"/>
      <c r="E33" s="14"/>
      <c r="F33" s="14"/>
      <c r="G33" s="87">
        <f>H29+H30+H31</f>
        <v>89.4</v>
      </c>
      <c r="H33" s="87"/>
      <c r="I33" s="14"/>
      <c r="J33" s="87">
        <f>K29+K30+K31</f>
        <v>1615.6999999999998</v>
      </c>
      <c r="K33" s="87"/>
      <c r="L33" s="56">
        <f>Source!U30</f>
        <v>4.6514999999999995</v>
      </c>
      <c r="O33" s="28">
        <f>G33</f>
        <v>89.4</v>
      </c>
      <c r="P33" s="28">
        <f>J33</f>
        <v>1615.6999999999998</v>
      </c>
      <c r="Q33" s="10">
        <f>L33</f>
        <v>4.6514999999999995</v>
      </c>
      <c r="W33" s="9">
        <f>IF(Source!BI30&lt;=1,H29+H30+H31,0)</f>
        <v>89.4</v>
      </c>
      <c r="X33" s="9">
        <f>IF(Source!BI30=2,H29+H30+H31,0)</f>
        <v>0</v>
      </c>
      <c r="Y33" s="9">
        <f>IF(Source!BI30=3,H29+H30+H31,0)</f>
        <v>0</v>
      </c>
      <c r="Z33" s="9">
        <f>IF(Source!BI30=4,H29+H30+H31,0)</f>
        <v>0</v>
      </c>
    </row>
    <row r="34" spans="1:22" s="9" customFormat="1" ht="78.75">
      <c r="A34" s="45" t="str">
        <f>Source!E31</f>
        <v>2</v>
      </c>
      <c r="B34" s="46" t="str">
        <f>Source!BJ31</f>
        <v>ФССЦпг-2001, т01-01-01-007, приказ Минстроя России №1039/пр от 30.12.2016г.</v>
      </c>
      <c r="C34" s="46" t="str">
        <f>Source!G31</f>
        <v>Погрузочные работы при автомобильных перевозках леса круглого</v>
      </c>
      <c r="D34" s="47" t="str">
        <f>Source!H31</f>
        <v>1 Т ГРУЗА</v>
      </c>
      <c r="E34" s="48">
        <f>Source!I31</f>
        <v>7</v>
      </c>
      <c r="F34" s="49">
        <f>Source!AL31+Source!AM31+Source!AO31</f>
        <v>0</v>
      </c>
      <c r="G34" s="50"/>
      <c r="H34" s="51"/>
      <c r="I34" s="50" t="str">
        <f>Source!BO31</f>
        <v>РСЦ с 1.09.2017г.</v>
      </c>
      <c r="J34" s="50"/>
      <c r="K34" s="51"/>
      <c r="L34" s="52"/>
      <c r="S34" s="9">
        <f>ROUND((Source!FX31/100)*((ROUND(Source!AF31*Source!I31,1)+ROUND(Source!AE31*Source!I31,1))),1)</f>
        <v>0</v>
      </c>
      <c r="T34" s="9">
        <f>Source!X31</f>
        <v>0</v>
      </c>
      <c r="U34" s="9">
        <f>ROUND((Source!FY31/100)*((ROUND(Source!AF31*Source!I31,1)+ROUND(Source!AE31*Source!I31,1))),1)</f>
        <v>0</v>
      </c>
      <c r="V34" s="9">
        <f>Source!Y31</f>
        <v>0</v>
      </c>
    </row>
    <row r="35" spans="1:18" s="9" customFormat="1" ht="11.25">
      <c r="A35" s="54"/>
      <c r="B35" s="22"/>
      <c r="C35" s="22" t="s">
        <v>758</v>
      </c>
      <c r="D35" s="23"/>
      <c r="E35" s="24"/>
      <c r="F35" s="25">
        <f>Source!AO31</f>
        <v>0</v>
      </c>
      <c r="G35" s="26" t="str">
        <f>Source!DG31</f>
        <v>=12,12</v>
      </c>
      <c r="H35" s="27">
        <f>ROUND(Source!AF31*Source!I31,1)</f>
        <v>84.8</v>
      </c>
      <c r="I35" s="26"/>
      <c r="J35" s="26">
        <f>IF(Source!BA31&lt;&gt;0,Source!BA31,1)</f>
        <v>19.96</v>
      </c>
      <c r="K35" s="27">
        <f>Source!S31</f>
        <v>1693.4</v>
      </c>
      <c r="L35" s="57"/>
      <c r="R35" s="9">
        <f>H35</f>
        <v>84.8</v>
      </c>
    </row>
    <row r="36" spans="1:26" s="9" customFormat="1" ht="11.25">
      <c r="A36" s="43"/>
      <c r="B36" s="14"/>
      <c r="C36" s="14"/>
      <c r="D36" s="14"/>
      <c r="E36" s="14"/>
      <c r="F36" s="14"/>
      <c r="G36" s="87">
        <f>H35</f>
        <v>84.8</v>
      </c>
      <c r="H36" s="87"/>
      <c r="I36" s="14"/>
      <c r="J36" s="87">
        <f>K35</f>
        <v>1693.4</v>
      </c>
      <c r="K36" s="87"/>
      <c r="L36" s="56">
        <f>Source!U31</f>
        <v>0</v>
      </c>
      <c r="O36" s="28">
        <f>G36</f>
        <v>84.8</v>
      </c>
      <c r="P36" s="28">
        <f>J36</f>
        <v>1693.4</v>
      </c>
      <c r="Q36" s="10">
        <f>L36</f>
        <v>0</v>
      </c>
      <c r="W36" s="9">
        <f>IF(Source!BI31&lt;=1,H35,0)</f>
        <v>84.8</v>
      </c>
      <c r="X36" s="9">
        <f>IF(Source!BI31=2,H35,0)</f>
        <v>0</v>
      </c>
      <c r="Y36" s="9">
        <f>IF(Source!BI31=3,H35,0)</f>
        <v>0</v>
      </c>
      <c r="Z36" s="9">
        <f>IF(Source!BI31=4,H35,0)</f>
        <v>0</v>
      </c>
    </row>
    <row r="37" spans="1:22" s="9" customFormat="1" ht="78.75">
      <c r="A37" s="45" t="str">
        <f>Source!E32</f>
        <v>3</v>
      </c>
      <c r="B37" s="46" t="str">
        <f>Source!BJ32</f>
        <v>ФССЦпг-2001, т03-21-01-015, приказ Минстроя России №1039/пр от 30.12.2016г.</v>
      </c>
      <c r="C37" s="46" t="str">
        <f>Source!G32</f>
        <v>Перевозка грузов I класса автомобилями-самосвалами грузоподъемностью 10 т работающих вне карьера на расстояние до 15 км</v>
      </c>
      <c r="D37" s="47" t="str">
        <f>Source!H32</f>
        <v>1 Т ГРУЗА</v>
      </c>
      <c r="E37" s="48">
        <f>Source!I32</f>
        <v>7</v>
      </c>
      <c r="F37" s="49">
        <f>Source!AL32+Source!AM32+Source!AO32</f>
        <v>0</v>
      </c>
      <c r="G37" s="50"/>
      <c r="H37" s="51"/>
      <c r="I37" s="50" t="str">
        <f>Source!BO32</f>
        <v>РСЦ с 1.09.2017г.</v>
      </c>
      <c r="J37" s="50"/>
      <c r="K37" s="51"/>
      <c r="L37" s="52"/>
      <c r="S37" s="9">
        <f>ROUND((Source!FX32/100)*((ROUND(Source!AF32*Source!I32,1)+ROUND(Source!AE32*Source!I32,1))),1)</f>
        <v>0</v>
      </c>
      <c r="T37" s="9">
        <f>Source!X32</f>
        <v>0</v>
      </c>
      <c r="U37" s="9">
        <f>ROUND((Source!FY32/100)*((ROUND(Source!AF32*Source!I32,1)+ROUND(Source!AE32*Source!I32,1))),1)</f>
        <v>0</v>
      </c>
      <c r="V37" s="9">
        <f>Source!Y32</f>
        <v>0</v>
      </c>
    </row>
    <row r="38" spans="1:12" s="9" customFormat="1" ht="11.25">
      <c r="A38" s="54"/>
      <c r="B38" s="22"/>
      <c r="C38" s="22" t="s">
        <v>71</v>
      </c>
      <c r="D38" s="23"/>
      <c r="E38" s="24"/>
      <c r="F38" s="25">
        <f>Source!AM32</f>
        <v>0</v>
      </c>
      <c r="G38" s="26" t="str">
        <f>Source!DE32</f>
        <v>=13,38</v>
      </c>
      <c r="H38" s="27">
        <f>ROUND(Source!AD32*Source!I32,1)</f>
        <v>93.7</v>
      </c>
      <c r="I38" s="26"/>
      <c r="J38" s="26">
        <f>IF(Source!BB32&lt;&gt;0,Source!BB32,1)</f>
        <v>5.55</v>
      </c>
      <c r="K38" s="27">
        <f>Source!Q32</f>
        <v>519.8</v>
      </c>
      <c r="L38" s="57"/>
    </row>
    <row r="39" spans="1:26" s="9" customFormat="1" ht="11.25">
      <c r="A39" s="43"/>
      <c r="B39" s="14"/>
      <c r="C39" s="14"/>
      <c r="D39" s="14"/>
      <c r="E39" s="14"/>
      <c r="F39" s="14"/>
      <c r="G39" s="87">
        <f>H38</f>
        <v>93.7</v>
      </c>
      <c r="H39" s="87"/>
      <c r="I39" s="14"/>
      <c r="J39" s="87">
        <f>K38</f>
        <v>519.8</v>
      </c>
      <c r="K39" s="87"/>
      <c r="L39" s="56">
        <f>Source!U32</f>
        <v>0</v>
      </c>
      <c r="O39" s="28">
        <f>G39</f>
        <v>93.7</v>
      </c>
      <c r="P39" s="28">
        <f>J39</f>
        <v>519.8</v>
      </c>
      <c r="Q39" s="10">
        <f>L39</f>
        <v>0</v>
      </c>
      <c r="W39" s="9">
        <f>IF(Source!BI32&lt;=1,H38,0)</f>
        <v>93.7</v>
      </c>
      <c r="X39" s="9">
        <f>IF(Source!BI32=2,H38,0)</f>
        <v>0</v>
      </c>
      <c r="Y39" s="9">
        <f>IF(Source!BI32=3,H38,0)</f>
        <v>0</v>
      </c>
      <c r="Z39" s="9">
        <f>IF(Source!BI32=4,H38,0)</f>
        <v>0</v>
      </c>
    </row>
    <row r="40" spans="1:12" s="9" customFormat="1" ht="11.25">
      <c r="A40" s="4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44"/>
    </row>
    <row r="41" spans="1:12" s="9" customFormat="1" ht="11.25">
      <c r="A41" s="95" t="str">
        <f>CONCATENATE("Итого по разделу: ",IF(Source!G34&lt;&gt;"Новый раздел",Source!G34,""))</f>
        <v>Итого по разделу: Вырубка кустарников-10м3</v>
      </c>
      <c r="B41" s="96"/>
      <c r="C41" s="96"/>
      <c r="D41" s="96"/>
      <c r="E41" s="96"/>
      <c r="F41" s="96"/>
      <c r="G41" s="94">
        <f>SUM(O27:O40)</f>
        <v>267.9</v>
      </c>
      <c r="H41" s="94"/>
      <c r="I41" s="58"/>
      <c r="J41" s="94">
        <f>SUM(P27:P40)</f>
        <v>3828.8999999999996</v>
      </c>
      <c r="K41" s="94"/>
      <c r="L41" s="56">
        <f>SUM(Q27:Q40)</f>
        <v>4.6514999999999995</v>
      </c>
    </row>
    <row r="42" spans="1:31" s="9" customFormat="1" ht="11.25">
      <c r="A42" s="92" t="str">
        <f>CONCATENATE("Раздел: ",IF(Source!G63&lt;&gt;"Новый раздел",Source!G63,""))</f>
        <v>Раздел: Разработка котлована под ТП -117,9 м3. Обратная засыпка песком с послойной трамбовкой -38,9 м3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93"/>
      <c r="AE42" s="29" t="str">
        <f>CONCATENATE("Раздел: ",IF(Source!G63&lt;&gt;"Новый раздел",Source!G63,""))</f>
        <v>Раздел: Разработка котлована под ТП -117,9 м3. Обратная засыпка песком с послойной трамбовкой -38,9 м3</v>
      </c>
    </row>
    <row r="43" spans="1:22" s="9" customFormat="1" ht="112.5">
      <c r="A43" s="45" t="str">
        <f>Source!E67</f>
        <v>4</v>
      </c>
      <c r="B43" s="46" t="s">
        <v>775</v>
      </c>
      <c r="C43" s="46" t="s">
        <v>776</v>
      </c>
      <c r="D43" s="47" t="str">
        <f>Source!H67</f>
        <v>1000 м3</v>
      </c>
      <c r="E43" s="48">
        <f>Source!I67</f>
        <v>0.118</v>
      </c>
      <c r="F43" s="49">
        <f>Source!AL67+Source!AM67+Source!AO67</f>
        <v>3623.82</v>
      </c>
      <c r="G43" s="50"/>
      <c r="H43" s="51"/>
      <c r="I43" s="50" t="str">
        <f>Source!BO67</f>
        <v>РСЦ с 1.09.2017г.</v>
      </c>
      <c r="J43" s="50"/>
      <c r="K43" s="51"/>
      <c r="L43" s="52"/>
      <c r="S43" s="9">
        <f>ROUND((Source!FX67/100)*((ROUND(Source!AF67*Source!I67,1)+ROUND(Source!AE67*Source!I67,1))),1)</f>
        <v>79.3</v>
      </c>
      <c r="T43" s="9">
        <f>Source!X67</f>
        <v>1349.1</v>
      </c>
      <c r="U43" s="9">
        <f>ROUND((Source!FY67/100)*((ROUND(Source!AF67*Source!I67,1)+ROUND(Source!AE67*Source!I67,1))),1)</f>
        <v>41.8</v>
      </c>
      <c r="V43" s="9">
        <f>Source!Y67</f>
        <v>666.2</v>
      </c>
    </row>
    <row r="44" spans="1:18" s="9" customFormat="1" ht="11.25">
      <c r="A44" s="45"/>
      <c r="B44" s="46"/>
      <c r="C44" s="46" t="s">
        <v>758</v>
      </c>
      <c r="D44" s="47"/>
      <c r="E44" s="48"/>
      <c r="F44" s="49">
        <f>Source!AO67</f>
        <v>89</v>
      </c>
      <c r="G44" s="50" t="str">
        <f>Source!DG67</f>
        <v>)*1,32</v>
      </c>
      <c r="H44" s="51">
        <f>ROUND(Source!AF67*Source!I67,1)</f>
        <v>13.9</v>
      </c>
      <c r="I44" s="50"/>
      <c r="J44" s="50">
        <f>IF(Source!BA67&lt;&gt;0,Source!BA67,1)</f>
        <v>19.96</v>
      </c>
      <c r="K44" s="51">
        <f>Source!S67</f>
        <v>276.7</v>
      </c>
      <c r="L44" s="52"/>
      <c r="R44" s="9">
        <f>H44</f>
        <v>13.9</v>
      </c>
    </row>
    <row r="45" spans="1:12" s="9" customFormat="1" ht="11.25">
      <c r="A45" s="45"/>
      <c r="B45" s="46"/>
      <c r="C45" s="46" t="s">
        <v>71</v>
      </c>
      <c r="D45" s="47"/>
      <c r="E45" s="48"/>
      <c r="F45" s="49">
        <f>Source!AM67</f>
        <v>3530.48</v>
      </c>
      <c r="G45" s="50" t="str">
        <f>Source!DE67</f>
        <v>)*1,32</v>
      </c>
      <c r="H45" s="51">
        <f>ROUND(Source!AD67*Source!I67,1)</f>
        <v>549.9</v>
      </c>
      <c r="I45" s="50"/>
      <c r="J45" s="50">
        <f>IF(Source!BB67&lt;&gt;0,Source!BB67,1)</f>
        <v>7.11</v>
      </c>
      <c r="K45" s="51">
        <f>Source!Q67</f>
        <v>3909.8</v>
      </c>
      <c r="L45" s="52"/>
    </row>
    <row r="46" spans="1:18" s="9" customFormat="1" ht="11.25">
      <c r="A46" s="45"/>
      <c r="B46" s="46"/>
      <c r="C46" s="46" t="s">
        <v>764</v>
      </c>
      <c r="D46" s="47"/>
      <c r="E46" s="48"/>
      <c r="F46" s="49">
        <f>Source!AN67</f>
        <v>446.72</v>
      </c>
      <c r="G46" s="50" t="str">
        <f>Source!DF67</f>
        <v>)*1,32</v>
      </c>
      <c r="H46" s="59">
        <f>ROUND(Source!AE67*Source!I67,1)</f>
        <v>69.6</v>
      </c>
      <c r="I46" s="50"/>
      <c r="J46" s="50">
        <f>IF(Source!BS67&lt;&gt;0,Source!BS67,1)</f>
        <v>19.96</v>
      </c>
      <c r="K46" s="59">
        <f>Source!R67</f>
        <v>1388.8</v>
      </c>
      <c r="L46" s="52"/>
      <c r="R46" s="9">
        <f>H46</f>
        <v>69.6</v>
      </c>
    </row>
    <row r="47" spans="1:12" s="9" customFormat="1" ht="11.25">
      <c r="A47" s="45"/>
      <c r="B47" s="46"/>
      <c r="C47" s="46" t="s">
        <v>765</v>
      </c>
      <c r="D47" s="47"/>
      <c r="E47" s="48"/>
      <c r="F47" s="49">
        <f>Source!AL67</f>
        <v>4.34</v>
      </c>
      <c r="G47" s="50">
        <f>Source!DD67</f>
      </c>
      <c r="H47" s="51">
        <f>ROUND(Source!AC67*Source!I67,1)</f>
        <v>0.5</v>
      </c>
      <c r="I47" s="50"/>
      <c r="J47" s="50">
        <f>IF(Source!BC67&lt;&gt;0,Source!BC67,1)</f>
        <v>5.66</v>
      </c>
      <c r="K47" s="51">
        <f>Source!P67</f>
        <v>2.9</v>
      </c>
      <c r="L47" s="52"/>
    </row>
    <row r="48" spans="1:12" s="9" customFormat="1" ht="11.25">
      <c r="A48" s="45"/>
      <c r="B48" s="46"/>
      <c r="C48" s="46" t="s">
        <v>759</v>
      </c>
      <c r="D48" s="47" t="s">
        <v>760</v>
      </c>
      <c r="E48" s="48">
        <f>Source!BZ67</f>
        <v>95</v>
      </c>
      <c r="F48" s="53"/>
      <c r="G48" s="50"/>
      <c r="H48" s="51">
        <f>SUM(S43:S50)</f>
        <v>79.3</v>
      </c>
      <c r="I48" s="50" t="str">
        <f>CONCATENATE(Source!FX67,Source!FV67,"=")</f>
        <v>95*0,85=</v>
      </c>
      <c r="J48" s="13">
        <f>Source!AT67</f>
        <v>81</v>
      </c>
      <c r="K48" s="51">
        <f>SUM(T43:T50)</f>
        <v>1349.1</v>
      </c>
      <c r="L48" s="52"/>
    </row>
    <row r="49" spans="1:12" s="9" customFormat="1" ht="11.25">
      <c r="A49" s="45"/>
      <c r="B49" s="46"/>
      <c r="C49" s="46" t="s">
        <v>761</v>
      </c>
      <c r="D49" s="47" t="s">
        <v>760</v>
      </c>
      <c r="E49" s="48">
        <f>Source!CA67</f>
        <v>50</v>
      </c>
      <c r="F49" s="53"/>
      <c r="G49" s="50"/>
      <c r="H49" s="51">
        <f>SUM(U43:U50)</f>
        <v>41.8</v>
      </c>
      <c r="I49" s="50" t="str">
        <f>CONCATENATE(Source!FY67,Source!FW67,"=")</f>
        <v>50*0,8=</v>
      </c>
      <c r="J49" s="13">
        <f>Source!AU67</f>
        <v>40</v>
      </c>
      <c r="K49" s="51">
        <f>SUM(V43:V50)</f>
        <v>666.2</v>
      </c>
      <c r="L49" s="52"/>
    </row>
    <row r="50" spans="1:12" s="9" customFormat="1" ht="11.25">
      <c r="A50" s="54"/>
      <c r="B50" s="22"/>
      <c r="C50" s="22" t="s">
        <v>762</v>
      </c>
      <c r="D50" s="23" t="s">
        <v>763</v>
      </c>
      <c r="E50" s="24">
        <f>Source!AQ67</f>
        <v>11.41</v>
      </c>
      <c r="F50" s="25"/>
      <c r="G50" s="26" t="str">
        <f>Source!DI67</f>
        <v>)*1,32</v>
      </c>
      <c r="H50" s="27"/>
      <c r="I50" s="26"/>
      <c r="J50" s="26"/>
      <c r="K50" s="27"/>
      <c r="L50" s="55">
        <f>Source!U67</f>
        <v>1.7772216</v>
      </c>
    </row>
    <row r="51" spans="1:26" s="9" customFormat="1" ht="11.25">
      <c r="A51" s="43"/>
      <c r="B51" s="14"/>
      <c r="C51" s="14"/>
      <c r="D51" s="14"/>
      <c r="E51" s="14"/>
      <c r="F51" s="14"/>
      <c r="G51" s="87">
        <f>H44+H45+H47+H48+H49</f>
        <v>685.3999999999999</v>
      </c>
      <c r="H51" s="87"/>
      <c r="I51" s="14"/>
      <c r="J51" s="87">
        <f>K44+K45+K47+K48+K49</f>
        <v>6204.7</v>
      </c>
      <c r="K51" s="87"/>
      <c r="L51" s="56">
        <f>Source!U67</f>
        <v>1.7772216</v>
      </c>
      <c r="O51" s="28">
        <f>G51</f>
        <v>685.3999999999999</v>
      </c>
      <c r="P51" s="28">
        <f>J51</f>
        <v>6204.7</v>
      </c>
      <c r="Q51" s="10">
        <f>L51</f>
        <v>1.7772216</v>
      </c>
      <c r="W51" s="9">
        <f>IF(Source!BI67&lt;=1,H44+H45+H47+H48+H49,0)</f>
        <v>685.3999999999999</v>
      </c>
      <c r="X51" s="9">
        <f>IF(Source!BI67=2,H44+H45+H47+H48+H49,0)</f>
        <v>0</v>
      </c>
      <c r="Y51" s="9">
        <f>IF(Source!BI67=3,H44+H45+H47+H48+H49,0)</f>
        <v>0</v>
      </c>
      <c r="Z51" s="9">
        <f>IF(Source!BI67=4,H44+H45+H47+H48+H49,0)</f>
        <v>0</v>
      </c>
    </row>
    <row r="52" spans="1:22" s="9" customFormat="1" ht="112.5">
      <c r="A52" s="45" t="str">
        <f>Source!E68</f>
        <v>5</v>
      </c>
      <c r="B52" s="46" t="s">
        <v>777</v>
      </c>
      <c r="C52" s="46" t="s">
        <v>778</v>
      </c>
      <c r="D52" s="47" t="str">
        <f>Source!H68</f>
        <v>100 м3</v>
      </c>
      <c r="E52" s="48">
        <f>Source!I68</f>
        <v>0.1</v>
      </c>
      <c r="F52" s="49">
        <f>Source!AL68+Source!AM68+Source!AO68</f>
        <v>1583.82</v>
      </c>
      <c r="G52" s="50"/>
      <c r="H52" s="51"/>
      <c r="I52" s="50" t="str">
        <f>Source!BO68</f>
        <v>РСЦ с 1.09.2017г.</v>
      </c>
      <c r="J52" s="50"/>
      <c r="K52" s="51"/>
      <c r="L52" s="52"/>
      <c r="S52" s="9">
        <f>ROUND((Source!FX68/100)*((ROUND(Source!AF68*Source!I68,1)+ROUND(Source!AE68*Source!I68,1))),1)</f>
        <v>145.7</v>
      </c>
      <c r="T52" s="9">
        <f>Source!X68</f>
        <v>2472.1</v>
      </c>
      <c r="U52" s="9">
        <f>ROUND((Source!FY68/100)*((ROUND(Source!AF68*Source!I68,1)+ROUND(Source!AE68*Source!I68,1))),1)</f>
        <v>81.9</v>
      </c>
      <c r="V52" s="9">
        <f>Source!Y68</f>
        <v>1308.8</v>
      </c>
    </row>
    <row r="53" spans="1:18" s="9" customFormat="1" ht="11.25">
      <c r="A53" s="45"/>
      <c r="B53" s="46"/>
      <c r="C53" s="46" t="s">
        <v>758</v>
      </c>
      <c r="D53" s="47"/>
      <c r="E53" s="48"/>
      <c r="F53" s="49">
        <f>Source!AO68</f>
        <v>1583.82</v>
      </c>
      <c r="G53" s="50" t="str">
        <f>Source!DG68</f>
        <v>)*1,15</v>
      </c>
      <c r="H53" s="51">
        <f>ROUND(Source!AF68*Source!I68,1)</f>
        <v>182.1</v>
      </c>
      <c r="I53" s="50"/>
      <c r="J53" s="50">
        <f>IF(Source!BA68&lt;&gt;0,Source!BA68,1)</f>
        <v>19.96</v>
      </c>
      <c r="K53" s="51">
        <f>Source!S68</f>
        <v>3635.5</v>
      </c>
      <c r="L53" s="52"/>
      <c r="R53" s="9">
        <f>H53</f>
        <v>182.1</v>
      </c>
    </row>
    <row r="54" spans="1:12" s="9" customFormat="1" ht="11.25">
      <c r="A54" s="45"/>
      <c r="B54" s="46"/>
      <c r="C54" s="46" t="s">
        <v>759</v>
      </c>
      <c r="D54" s="47" t="s">
        <v>760</v>
      </c>
      <c r="E54" s="48">
        <f>Source!BZ68</f>
        <v>80</v>
      </c>
      <c r="F54" s="53"/>
      <c r="G54" s="50"/>
      <c r="H54" s="51">
        <f>SUM(S52:S56)</f>
        <v>145.7</v>
      </c>
      <c r="I54" s="50" t="str">
        <f>CONCATENATE(Source!FX68,Source!FV68,"=")</f>
        <v>80*0,85=</v>
      </c>
      <c r="J54" s="13">
        <f>Source!AT68</f>
        <v>68</v>
      </c>
      <c r="K54" s="51">
        <f>SUM(T52:T56)</f>
        <v>2472.1</v>
      </c>
      <c r="L54" s="52"/>
    </row>
    <row r="55" spans="1:12" s="9" customFormat="1" ht="11.25">
      <c r="A55" s="45"/>
      <c r="B55" s="46"/>
      <c r="C55" s="46" t="s">
        <v>761</v>
      </c>
      <c r="D55" s="47" t="s">
        <v>760</v>
      </c>
      <c r="E55" s="48">
        <f>Source!CA68</f>
        <v>45</v>
      </c>
      <c r="F55" s="53"/>
      <c r="G55" s="50"/>
      <c r="H55" s="51">
        <f>SUM(U52:U56)</f>
        <v>81.9</v>
      </c>
      <c r="I55" s="50" t="str">
        <f>CONCATENATE(Source!FY68,Source!FW68,"=")</f>
        <v>45*0,8=</v>
      </c>
      <c r="J55" s="13">
        <f>Source!AU68</f>
        <v>36</v>
      </c>
      <c r="K55" s="51">
        <f>SUM(V52:V56)</f>
        <v>1308.8</v>
      </c>
      <c r="L55" s="52"/>
    </row>
    <row r="56" spans="1:12" s="9" customFormat="1" ht="11.25">
      <c r="A56" s="54"/>
      <c r="B56" s="22"/>
      <c r="C56" s="22" t="s">
        <v>762</v>
      </c>
      <c r="D56" s="23" t="s">
        <v>763</v>
      </c>
      <c r="E56" s="24">
        <f>Source!AQ68</f>
        <v>189</v>
      </c>
      <c r="F56" s="25"/>
      <c r="G56" s="26" t="str">
        <f>Source!DI68</f>
        <v>)*1,15</v>
      </c>
      <c r="H56" s="27"/>
      <c r="I56" s="26"/>
      <c r="J56" s="26"/>
      <c r="K56" s="27"/>
      <c r="L56" s="55">
        <f>Source!U68</f>
        <v>21.735</v>
      </c>
    </row>
    <row r="57" spans="1:26" s="9" customFormat="1" ht="11.25">
      <c r="A57" s="43"/>
      <c r="B57" s="14"/>
      <c r="C57" s="14"/>
      <c r="D57" s="14"/>
      <c r="E57" s="14"/>
      <c r="F57" s="14"/>
      <c r="G57" s="87">
        <f>H53+H54+H55</f>
        <v>409.69999999999993</v>
      </c>
      <c r="H57" s="87"/>
      <c r="I57" s="14"/>
      <c r="J57" s="87">
        <f>K53+K54+K55</f>
        <v>7416.400000000001</v>
      </c>
      <c r="K57" s="87"/>
      <c r="L57" s="56">
        <f>Source!U68</f>
        <v>21.735</v>
      </c>
      <c r="O57" s="28">
        <f>G57</f>
        <v>409.69999999999993</v>
      </c>
      <c r="P57" s="28">
        <f>J57</f>
        <v>7416.400000000001</v>
      </c>
      <c r="Q57" s="10">
        <f>L57</f>
        <v>21.735</v>
      </c>
      <c r="W57" s="9">
        <f>IF(Source!BI68&lt;=1,H53+H54+H55,0)</f>
        <v>409.69999999999993</v>
      </c>
      <c r="X57" s="9">
        <f>IF(Source!BI68=2,H53+H54+H55,0)</f>
        <v>0</v>
      </c>
      <c r="Y57" s="9">
        <f>IF(Source!BI68=3,H53+H54+H55,0)</f>
        <v>0</v>
      </c>
      <c r="Z57" s="9">
        <f>IF(Source!BI68=4,H53+H54+H55,0)</f>
        <v>0</v>
      </c>
    </row>
    <row r="58" spans="1:22" s="9" customFormat="1" ht="78.75">
      <c r="A58" s="45" t="str">
        <f>Source!E69</f>
        <v>6</v>
      </c>
      <c r="B58" s="46" t="str">
        <f>Source!BJ69</f>
        <v>ФЕР-2001, 01-02-060-01, приказ Минстроя России №1039/пр от 30.12.2016г.</v>
      </c>
      <c r="C58" s="46" t="str">
        <f>Source!G69</f>
        <v>Погрузка вручную неуплотненного грунта из штабелей и отвалов в транспортные средства, группа грунтов 1</v>
      </c>
      <c r="D58" s="47" t="str">
        <f>Source!H69</f>
        <v>100 м3</v>
      </c>
      <c r="E58" s="48">
        <f>Source!I69</f>
        <v>1.18</v>
      </c>
      <c r="F58" s="49">
        <f>Source!AL69+Source!AM69+Source!AO69</f>
        <v>401.7</v>
      </c>
      <c r="G58" s="50"/>
      <c r="H58" s="51"/>
      <c r="I58" s="50" t="str">
        <f>Source!BO69</f>
        <v>РСЦ с 1.09.2017г.</v>
      </c>
      <c r="J58" s="50"/>
      <c r="K58" s="51"/>
      <c r="L58" s="52"/>
      <c r="S58" s="9">
        <f>ROUND((Source!FX69/100)*((ROUND(Source!AF69*Source!I69,1)+ROUND(Source!AE69*Source!I69,1))),1)</f>
        <v>379.2</v>
      </c>
      <c r="T58" s="9">
        <f>Source!X69</f>
        <v>6433.6</v>
      </c>
      <c r="U58" s="9">
        <f>ROUND((Source!FY69/100)*((ROUND(Source!AF69*Source!I69,1)+ROUND(Source!AE69*Source!I69,1))),1)</f>
        <v>213.3</v>
      </c>
      <c r="V58" s="9">
        <f>Source!Y69</f>
        <v>3406</v>
      </c>
    </row>
    <row r="59" spans="1:18" s="9" customFormat="1" ht="11.25">
      <c r="A59" s="45"/>
      <c r="B59" s="46"/>
      <c r="C59" s="46" t="s">
        <v>758</v>
      </c>
      <c r="D59" s="47"/>
      <c r="E59" s="48"/>
      <c r="F59" s="49">
        <f>Source!AO69</f>
        <v>401.7</v>
      </c>
      <c r="G59" s="50">
        <f>Source!DG69</f>
      </c>
      <c r="H59" s="51">
        <f>ROUND(Source!AF69*Source!I69,1)</f>
        <v>474</v>
      </c>
      <c r="I59" s="50"/>
      <c r="J59" s="50">
        <f>IF(Source!BA69&lt;&gt;0,Source!BA69,1)</f>
        <v>19.96</v>
      </c>
      <c r="K59" s="51">
        <f>Source!S69</f>
        <v>9461.2</v>
      </c>
      <c r="L59" s="52"/>
      <c r="R59" s="9">
        <f>H59</f>
        <v>474</v>
      </c>
    </row>
    <row r="60" spans="1:12" s="9" customFormat="1" ht="11.25">
      <c r="A60" s="45"/>
      <c r="B60" s="46"/>
      <c r="C60" s="46" t="s">
        <v>759</v>
      </c>
      <c r="D60" s="47" t="s">
        <v>760</v>
      </c>
      <c r="E60" s="48">
        <f>Source!BZ69</f>
        <v>80</v>
      </c>
      <c r="F60" s="53"/>
      <c r="G60" s="50"/>
      <c r="H60" s="51">
        <f>SUM(S58:S62)</f>
        <v>379.2</v>
      </c>
      <c r="I60" s="50" t="str">
        <f>CONCATENATE(Source!FX69,Source!FV69,"=")</f>
        <v>80*0,85=</v>
      </c>
      <c r="J60" s="13">
        <f>Source!AT69</f>
        <v>68</v>
      </c>
      <c r="K60" s="51">
        <f>SUM(T58:T62)</f>
        <v>6433.6</v>
      </c>
      <c r="L60" s="52"/>
    </row>
    <row r="61" spans="1:12" s="9" customFormat="1" ht="11.25">
      <c r="A61" s="45"/>
      <c r="B61" s="46"/>
      <c r="C61" s="46" t="s">
        <v>761</v>
      </c>
      <c r="D61" s="47" t="s">
        <v>760</v>
      </c>
      <c r="E61" s="48">
        <f>Source!CA69</f>
        <v>45</v>
      </c>
      <c r="F61" s="53"/>
      <c r="G61" s="50"/>
      <c r="H61" s="51">
        <f>SUM(U58:U62)</f>
        <v>213.3</v>
      </c>
      <c r="I61" s="50" t="str">
        <f>CONCATENATE(Source!FY69,Source!FW69,"=")</f>
        <v>45*0,8=</v>
      </c>
      <c r="J61" s="13">
        <f>Source!AU69</f>
        <v>36</v>
      </c>
      <c r="K61" s="51">
        <f>SUM(V58:V62)</f>
        <v>3406</v>
      </c>
      <c r="L61" s="52"/>
    </row>
    <row r="62" spans="1:12" s="9" customFormat="1" ht="11.25">
      <c r="A62" s="54"/>
      <c r="B62" s="22"/>
      <c r="C62" s="22" t="s">
        <v>762</v>
      </c>
      <c r="D62" s="23" t="s">
        <v>763</v>
      </c>
      <c r="E62" s="24">
        <f>Source!AQ69</f>
        <v>53.56</v>
      </c>
      <c r="F62" s="25"/>
      <c r="G62" s="26">
        <f>Source!DI69</f>
      </c>
      <c r="H62" s="27"/>
      <c r="I62" s="26"/>
      <c r="J62" s="26"/>
      <c r="K62" s="27"/>
      <c r="L62" s="55">
        <f>Source!U69</f>
        <v>63.2008</v>
      </c>
    </row>
    <row r="63" spans="1:26" s="9" customFormat="1" ht="11.25">
      <c r="A63" s="43"/>
      <c r="B63" s="14"/>
      <c r="C63" s="14"/>
      <c r="D63" s="14"/>
      <c r="E63" s="14"/>
      <c r="F63" s="14"/>
      <c r="G63" s="87">
        <f>H59+H60+H61</f>
        <v>1066.5</v>
      </c>
      <c r="H63" s="87"/>
      <c r="I63" s="14"/>
      <c r="J63" s="87">
        <f>K59+K60+K61</f>
        <v>19300.800000000003</v>
      </c>
      <c r="K63" s="87"/>
      <c r="L63" s="56">
        <f>Source!U69</f>
        <v>63.2008</v>
      </c>
      <c r="O63" s="28">
        <f>G63</f>
        <v>1066.5</v>
      </c>
      <c r="P63" s="28">
        <f>J63</f>
        <v>19300.800000000003</v>
      </c>
      <c r="Q63" s="10">
        <f>L63</f>
        <v>63.2008</v>
      </c>
      <c r="W63" s="9">
        <f>IF(Source!BI69&lt;=1,H59+H60+H61,0)</f>
        <v>1066.5</v>
      </c>
      <c r="X63" s="9">
        <f>IF(Source!BI69=2,H59+H60+H61,0)</f>
        <v>0</v>
      </c>
      <c r="Y63" s="9">
        <f>IF(Source!BI69=3,H59+H60+H61,0)</f>
        <v>0</v>
      </c>
      <c r="Z63" s="9">
        <f>IF(Source!BI69=4,H59+H60+H61,0)</f>
        <v>0</v>
      </c>
    </row>
    <row r="64" spans="1:22" s="9" customFormat="1" ht="78.75">
      <c r="A64" s="45" t="str">
        <f>Source!E70</f>
        <v>7</v>
      </c>
      <c r="B64" s="46" t="str">
        <f>Source!BJ70</f>
        <v>ФССЦпг-2001, т03-21-01-015, приказ Минстроя России №1039/пр от 30.12.2016г.</v>
      </c>
      <c r="C64" s="46" t="str">
        <f>Source!G70</f>
        <v>Перевозка грузов I класса автомобилями-самосвалами грузоподъемностью 10 т работающих вне карьера на расстояние до 15 км</v>
      </c>
      <c r="D64" s="47" t="str">
        <f>Source!H70</f>
        <v>1 Т ГРУЗА</v>
      </c>
      <c r="E64" s="48">
        <f>Source!I70</f>
        <v>200</v>
      </c>
      <c r="F64" s="49">
        <f>Source!AL70+Source!AM70+Source!AO70</f>
        <v>0</v>
      </c>
      <c r="G64" s="50"/>
      <c r="H64" s="51"/>
      <c r="I64" s="50" t="str">
        <f>Source!BO70</f>
        <v>РСЦ с 1.09.2017г.</v>
      </c>
      <c r="J64" s="50"/>
      <c r="K64" s="51"/>
      <c r="L64" s="52"/>
      <c r="S64" s="9">
        <f>ROUND((Source!FX70/100)*((ROUND(Source!AF70*Source!I70,1)+ROUND(Source!AE70*Source!I70,1))),1)</f>
        <v>0</v>
      </c>
      <c r="T64" s="9">
        <f>Source!X70</f>
        <v>0</v>
      </c>
      <c r="U64" s="9">
        <f>ROUND((Source!FY70/100)*((ROUND(Source!AF70*Source!I70,1)+ROUND(Source!AE70*Source!I70,1))),1)</f>
        <v>0</v>
      </c>
      <c r="V64" s="9">
        <f>Source!Y70</f>
        <v>0</v>
      </c>
    </row>
    <row r="65" spans="1:12" s="9" customFormat="1" ht="11.25">
      <c r="A65" s="54"/>
      <c r="B65" s="22"/>
      <c r="C65" s="22" t="s">
        <v>71</v>
      </c>
      <c r="D65" s="23"/>
      <c r="E65" s="24"/>
      <c r="F65" s="25">
        <f>Source!AM70</f>
        <v>0</v>
      </c>
      <c r="G65" s="26" t="str">
        <f>Source!DE70</f>
        <v>=13,38</v>
      </c>
      <c r="H65" s="27">
        <f>ROUND(Source!AD70*Source!I70,1)</f>
        <v>2676</v>
      </c>
      <c r="I65" s="26"/>
      <c r="J65" s="26">
        <f>IF(Source!BB70&lt;&gt;0,Source!BB70,1)</f>
        <v>5.55</v>
      </c>
      <c r="K65" s="27">
        <f>Source!Q70</f>
        <v>14851.8</v>
      </c>
      <c r="L65" s="57"/>
    </row>
    <row r="66" spans="1:26" s="9" customFormat="1" ht="11.25">
      <c r="A66" s="43"/>
      <c r="B66" s="14"/>
      <c r="C66" s="14"/>
      <c r="D66" s="14"/>
      <c r="E66" s="14"/>
      <c r="F66" s="14"/>
      <c r="G66" s="87">
        <f>H65</f>
        <v>2676</v>
      </c>
      <c r="H66" s="87"/>
      <c r="I66" s="14"/>
      <c r="J66" s="87">
        <f>K65</f>
        <v>14851.8</v>
      </c>
      <c r="K66" s="87"/>
      <c r="L66" s="56">
        <f>Source!U70</f>
        <v>0</v>
      </c>
      <c r="O66" s="28">
        <f>G66</f>
        <v>2676</v>
      </c>
      <c r="P66" s="28">
        <f>J66</f>
        <v>14851.8</v>
      </c>
      <c r="Q66" s="10">
        <f>L66</f>
        <v>0</v>
      </c>
      <c r="W66" s="9">
        <f>IF(Source!BI70&lt;=1,H65,0)</f>
        <v>2676</v>
      </c>
      <c r="X66" s="9">
        <f>IF(Source!BI70=2,H65,0)</f>
        <v>0</v>
      </c>
      <c r="Y66" s="9">
        <f>IF(Source!BI70=3,H65,0)</f>
        <v>0</v>
      </c>
      <c r="Z66" s="9">
        <f>IF(Source!BI70=4,H65,0)</f>
        <v>0</v>
      </c>
    </row>
    <row r="67" spans="1:22" s="9" customFormat="1" ht="78.75">
      <c r="A67" s="45" t="str">
        <f>Source!E71</f>
        <v>8</v>
      </c>
      <c r="B67" s="46" t="str">
        <f>Source!BJ71</f>
        <v>ФЕР-2001, 01-01-016-02, приказ Минстроя России №1039/пр от 30.12.2016г.</v>
      </c>
      <c r="C67" s="46" t="str">
        <f>Source!G71</f>
        <v>Работа на отвале, группа грунтов 2-3</v>
      </c>
      <c r="D67" s="47" t="str">
        <f>Source!H71</f>
        <v>1000 м3</v>
      </c>
      <c r="E67" s="48">
        <f>Source!I71</f>
        <v>0.117</v>
      </c>
      <c r="F67" s="49">
        <f>Source!AL71+Source!AM71+Source!AO71</f>
        <v>353.88</v>
      </c>
      <c r="G67" s="50"/>
      <c r="H67" s="51"/>
      <c r="I67" s="50" t="str">
        <f>Source!BO71</f>
        <v>РСЦ с 1.09.2017г.</v>
      </c>
      <c r="J67" s="50"/>
      <c r="K67" s="51"/>
      <c r="L67" s="52"/>
      <c r="S67" s="9">
        <f>ROUND((Source!FX71/100)*((ROUND(Source!AF71*Source!I71,1)+ROUND(Source!AE71*Source!I71,1))),1)</f>
        <v>9.2</v>
      </c>
      <c r="T67" s="9">
        <f>Source!X71</f>
        <v>157</v>
      </c>
      <c r="U67" s="9">
        <f>ROUND((Source!FY71/100)*((ROUND(Source!AF71*Source!I71,1)+ROUND(Source!AE71*Source!I71,1))),1)</f>
        <v>4.9</v>
      </c>
      <c r="V67" s="9">
        <f>Source!Y71</f>
        <v>77.5</v>
      </c>
    </row>
    <row r="68" spans="1:18" s="9" customFormat="1" ht="11.25">
      <c r="A68" s="45"/>
      <c r="B68" s="46"/>
      <c r="C68" s="46" t="s">
        <v>758</v>
      </c>
      <c r="D68" s="47"/>
      <c r="E68" s="48"/>
      <c r="F68" s="49">
        <f>Source!AO71</f>
        <v>28.47</v>
      </c>
      <c r="G68" s="50">
        <f>Source!DG71</f>
      </c>
      <c r="H68" s="51">
        <f>ROUND(Source!AF71*Source!I71,1)</f>
        <v>3.3</v>
      </c>
      <c r="I68" s="50"/>
      <c r="J68" s="50">
        <f>IF(Source!BA71&lt;&gt;0,Source!BA71,1)</f>
        <v>19.96</v>
      </c>
      <c r="K68" s="51">
        <f>Source!S71</f>
        <v>66.5</v>
      </c>
      <c r="L68" s="52"/>
      <c r="R68" s="9">
        <f>H68</f>
        <v>3.3</v>
      </c>
    </row>
    <row r="69" spans="1:12" s="9" customFormat="1" ht="11.25">
      <c r="A69" s="45"/>
      <c r="B69" s="46"/>
      <c r="C69" s="46" t="s">
        <v>71</v>
      </c>
      <c r="D69" s="47"/>
      <c r="E69" s="48"/>
      <c r="F69" s="49">
        <f>Source!AM71</f>
        <v>321.07</v>
      </c>
      <c r="G69" s="50">
        <f>Source!DE71</f>
      </c>
      <c r="H69" s="51">
        <f>ROUND(Source!AD71*Source!I71,1)</f>
        <v>37.6</v>
      </c>
      <c r="I69" s="50"/>
      <c r="J69" s="50">
        <f>IF(Source!BB71&lt;&gt;0,Source!BB71,1)</f>
        <v>7.11</v>
      </c>
      <c r="K69" s="51">
        <f>Source!Q71</f>
        <v>267.1</v>
      </c>
      <c r="L69" s="52"/>
    </row>
    <row r="70" spans="1:18" s="9" customFormat="1" ht="11.25">
      <c r="A70" s="45"/>
      <c r="B70" s="46"/>
      <c r="C70" s="46" t="s">
        <v>764</v>
      </c>
      <c r="D70" s="47"/>
      <c r="E70" s="48"/>
      <c r="F70" s="49">
        <f>Source!AN71</f>
        <v>54.53</v>
      </c>
      <c r="G70" s="50">
        <f>Source!DF71</f>
      </c>
      <c r="H70" s="59">
        <f>ROUND(Source!AE71*Source!I71,1)</f>
        <v>6.4</v>
      </c>
      <c r="I70" s="50"/>
      <c r="J70" s="50">
        <f>IF(Source!BS71&lt;&gt;0,Source!BS71,1)</f>
        <v>19.96</v>
      </c>
      <c r="K70" s="59">
        <f>Source!R71</f>
        <v>127.3</v>
      </c>
      <c r="L70" s="52"/>
      <c r="R70" s="9">
        <f>H70</f>
        <v>6.4</v>
      </c>
    </row>
    <row r="71" spans="1:12" s="9" customFormat="1" ht="11.25">
      <c r="A71" s="45"/>
      <c r="B71" s="46"/>
      <c r="C71" s="46" t="s">
        <v>765</v>
      </c>
      <c r="D71" s="47"/>
      <c r="E71" s="48"/>
      <c r="F71" s="49">
        <f>Source!AL71</f>
        <v>4.34</v>
      </c>
      <c r="G71" s="50">
        <f>Source!DD71</f>
      </c>
      <c r="H71" s="51">
        <f>ROUND(Source!AC71*Source!I71,1)</f>
        <v>0.5</v>
      </c>
      <c r="I71" s="50"/>
      <c r="J71" s="50">
        <f>IF(Source!BC71&lt;&gt;0,Source!BC71,1)</f>
        <v>5.66</v>
      </c>
      <c r="K71" s="51">
        <f>Source!P71</f>
        <v>2.9</v>
      </c>
      <c r="L71" s="52"/>
    </row>
    <row r="72" spans="1:12" s="9" customFormat="1" ht="11.25">
      <c r="A72" s="45"/>
      <c r="B72" s="46"/>
      <c r="C72" s="46" t="s">
        <v>759</v>
      </c>
      <c r="D72" s="47" t="s">
        <v>760</v>
      </c>
      <c r="E72" s="48">
        <f>Source!BZ71</f>
        <v>95</v>
      </c>
      <c r="F72" s="53"/>
      <c r="G72" s="50"/>
      <c r="H72" s="51">
        <f>SUM(S67:S74)</f>
        <v>9.2</v>
      </c>
      <c r="I72" s="50" t="str">
        <f>CONCATENATE(Source!FX71,Source!FV71,"=")</f>
        <v>95*0,85=</v>
      </c>
      <c r="J72" s="13">
        <f>Source!AT71</f>
        <v>81</v>
      </c>
      <c r="K72" s="51">
        <f>SUM(T67:T74)</f>
        <v>157</v>
      </c>
      <c r="L72" s="52"/>
    </row>
    <row r="73" spans="1:12" s="9" customFormat="1" ht="11.25">
      <c r="A73" s="45"/>
      <c r="B73" s="46"/>
      <c r="C73" s="46" t="s">
        <v>761</v>
      </c>
      <c r="D73" s="47" t="s">
        <v>760</v>
      </c>
      <c r="E73" s="48">
        <f>Source!CA71</f>
        <v>50</v>
      </c>
      <c r="F73" s="53"/>
      <c r="G73" s="50"/>
      <c r="H73" s="51">
        <f>SUM(U67:U74)</f>
        <v>4.9</v>
      </c>
      <c r="I73" s="50" t="str">
        <f>CONCATENATE(Source!FY71,Source!FW71,"=")</f>
        <v>50*0,8=</v>
      </c>
      <c r="J73" s="13">
        <f>Source!AU71</f>
        <v>40</v>
      </c>
      <c r="K73" s="51">
        <f>SUM(V67:V74)</f>
        <v>77.5</v>
      </c>
      <c r="L73" s="52"/>
    </row>
    <row r="74" spans="1:12" s="9" customFormat="1" ht="11.25">
      <c r="A74" s="54"/>
      <c r="B74" s="22"/>
      <c r="C74" s="22" t="s">
        <v>762</v>
      </c>
      <c r="D74" s="23" t="s">
        <v>763</v>
      </c>
      <c r="E74" s="24">
        <f>Source!AQ71</f>
        <v>3.65</v>
      </c>
      <c r="F74" s="25"/>
      <c r="G74" s="26">
        <f>Source!DI71</f>
      </c>
      <c r="H74" s="27"/>
      <c r="I74" s="26"/>
      <c r="J74" s="26"/>
      <c r="K74" s="27"/>
      <c r="L74" s="55">
        <f>Source!U71</f>
        <v>0.42705000000000004</v>
      </c>
    </row>
    <row r="75" spans="1:26" s="9" customFormat="1" ht="11.25">
      <c r="A75" s="43"/>
      <c r="B75" s="14"/>
      <c r="C75" s="14"/>
      <c r="D75" s="14"/>
      <c r="E75" s="14"/>
      <c r="F75" s="14"/>
      <c r="G75" s="87">
        <f>H68+H69+H71+H72+H73</f>
        <v>55.49999999999999</v>
      </c>
      <c r="H75" s="87"/>
      <c r="I75" s="14"/>
      <c r="J75" s="87">
        <f>K68+K69+K71+K72+K73</f>
        <v>571</v>
      </c>
      <c r="K75" s="87"/>
      <c r="L75" s="56">
        <f>Source!U71</f>
        <v>0.42705000000000004</v>
      </c>
      <c r="O75" s="28">
        <f>G75</f>
        <v>55.49999999999999</v>
      </c>
      <c r="P75" s="28">
        <f>J75</f>
        <v>571</v>
      </c>
      <c r="Q75" s="10">
        <f>L75</f>
        <v>0.42705000000000004</v>
      </c>
      <c r="W75" s="9">
        <f>IF(Source!BI71&lt;=1,H68+H69+H71+H72+H73,0)</f>
        <v>55.49999999999999</v>
      </c>
      <c r="X75" s="9">
        <f>IF(Source!BI71=2,H68+H69+H71+H72+H73,0)</f>
        <v>0</v>
      </c>
      <c r="Y75" s="9">
        <f>IF(Source!BI71=3,H68+H69+H71+H72+H73,0)</f>
        <v>0</v>
      </c>
      <c r="Z75" s="9">
        <f>IF(Source!BI71=4,H68+H69+H71+H72+H73,0)</f>
        <v>0</v>
      </c>
    </row>
    <row r="76" spans="1:22" s="9" customFormat="1" ht="78.75">
      <c r="A76" s="45" t="str">
        <f>Source!E72</f>
        <v>9</v>
      </c>
      <c r="B76" s="46" t="str">
        <f>Source!BJ72</f>
        <v>ФЕР-2001, 01-01-033-01, приказ Минстроя России №1039/пр от 30.12.2016г.</v>
      </c>
      <c r="C76" s="46" t="str">
        <f>Source!G72</f>
        <v>Засыпка траншей и котлованов с перемещением грунта до 5 м бульдозерами мощностью 59 кВт (80 л.с.), группа грунтов 1</v>
      </c>
      <c r="D76" s="47" t="str">
        <f>Source!H72</f>
        <v>1000 м3</v>
      </c>
      <c r="E76" s="48">
        <f>Source!I72</f>
        <v>0.039</v>
      </c>
      <c r="F76" s="49">
        <f>Source!AL72+Source!AM72+Source!AO72</f>
        <v>451.97</v>
      </c>
      <c r="G76" s="50"/>
      <c r="H76" s="51"/>
      <c r="I76" s="50" t="str">
        <f>Source!BO72</f>
        <v>РСЦ с 1.09.2017г.</v>
      </c>
      <c r="J76" s="50"/>
      <c r="K76" s="51"/>
      <c r="L76" s="52"/>
      <c r="S76" s="9">
        <f>ROUND((Source!FX72/100)*((ROUND(Source!AF72*Source!I72,1)+ROUND(Source!AE72*Source!I72,1))),1)</f>
        <v>3.2</v>
      </c>
      <c r="T76" s="9">
        <f>Source!X72</f>
        <v>55.6</v>
      </c>
      <c r="U76" s="9">
        <f>ROUND((Source!FY72/100)*((ROUND(Source!AF72*Source!I72,1)+ROUND(Source!AE72*Source!I72,1))),1)</f>
        <v>1.7</v>
      </c>
      <c r="V76" s="9">
        <f>Source!Y72</f>
        <v>27.4</v>
      </c>
    </row>
    <row r="77" spans="1:12" s="9" customFormat="1" ht="11.25">
      <c r="A77" s="45"/>
      <c r="B77" s="46"/>
      <c r="C77" s="46" t="s">
        <v>71</v>
      </c>
      <c r="D77" s="47"/>
      <c r="E77" s="48"/>
      <c r="F77" s="49">
        <f>Source!AM72</f>
        <v>451.97</v>
      </c>
      <c r="G77" s="50">
        <f>Source!DE72</f>
      </c>
      <c r="H77" s="51">
        <f>ROUND(Source!AD72*Source!I72,1)</f>
        <v>17.6</v>
      </c>
      <c r="I77" s="50"/>
      <c r="J77" s="50">
        <f>IF(Source!BB72&lt;&gt;0,Source!BB72,1)</f>
        <v>7.11</v>
      </c>
      <c r="K77" s="51">
        <f>Source!Q72</f>
        <v>125.3</v>
      </c>
      <c r="L77" s="52"/>
    </row>
    <row r="78" spans="1:18" s="9" customFormat="1" ht="11.25">
      <c r="A78" s="45"/>
      <c r="B78" s="46"/>
      <c r="C78" s="46" t="s">
        <v>764</v>
      </c>
      <c r="D78" s="47"/>
      <c r="E78" s="48"/>
      <c r="F78" s="49">
        <f>Source!AN72</f>
        <v>88.16</v>
      </c>
      <c r="G78" s="50">
        <f>Source!DF72</f>
      </c>
      <c r="H78" s="59">
        <f>ROUND(Source!AE72*Source!I72,1)</f>
        <v>3.4</v>
      </c>
      <c r="I78" s="50"/>
      <c r="J78" s="50">
        <f>IF(Source!BS72&lt;&gt;0,Source!BS72,1)</f>
        <v>19.96</v>
      </c>
      <c r="K78" s="59">
        <f>Source!R72</f>
        <v>68.6</v>
      </c>
      <c r="L78" s="52"/>
      <c r="R78" s="9">
        <f>H78</f>
        <v>3.4</v>
      </c>
    </row>
    <row r="79" spans="1:12" s="9" customFormat="1" ht="11.25">
      <c r="A79" s="45"/>
      <c r="B79" s="46"/>
      <c r="C79" s="46" t="s">
        <v>759</v>
      </c>
      <c r="D79" s="47" t="s">
        <v>760</v>
      </c>
      <c r="E79" s="48">
        <f>Source!BZ72</f>
        <v>95</v>
      </c>
      <c r="F79" s="53"/>
      <c r="G79" s="50"/>
      <c r="H79" s="51">
        <f>SUM(S76:S80)</f>
        <v>3.2</v>
      </c>
      <c r="I79" s="50" t="str">
        <f>CONCATENATE(Source!FX72,Source!FV72,"=")</f>
        <v>95*0,85=</v>
      </c>
      <c r="J79" s="13">
        <f>Source!AT72</f>
        <v>81</v>
      </c>
      <c r="K79" s="51">
        <f>SUM(T76:T80)</f>
        <v>55.6</v>
      </c>
      <c r="L79" s="52"/>
    </row>
    <row r="80" spans="1:12" s="9" customFormat="1" ht="11.25">
      <c r="A80" s="54"/>
      <c r="B80" s="22"/>
      <c r="C80" s="22" t="s">
        <v>761</v>
      </c>
      <c r="D80" s="23" t="s">
        <v>760</v>
      </c>
      <c r="E80" s="24">
        <f>Source!CA72</f>
        <v>50</v>
      </c>
      <c r="F80" s="30"/>
      <c r="G80" s="26"/>
      <c r="H80" s="27">
        <f>SUM(U76:U80)</f>
        <v>1.7</v>
      </c>
      <c r="I80" s="26" t="str">
        <f>CONCATENATE(Source!FY72,Source!FW72,"=")</f>
        <v>50*0,8=</v>
      </c>
      <c r="J80" s="31">
        <f>Source!AU72</f>
        <v>40</v>
      </c>
      <c r="K80" s="27">
        <f>SUM(V76:V80)</f>
        <v>27.4</v>
      </c>
      <c r="L80" s="57"/>
    </row>
    <row r="81" spans="1:26" s="9" customFormat="1" ht="11.25">
      <c r="A81" s="43"/>
      <c r="B81" s="14"/>
      <c r="C81" s="14"/>
      <c r="D81" s="14"/>
      <c r="E81" s="14"/>
      <c r="F81" s="14"/>
      <c r="G81" s="87">
        <f>H77+H79+H80</f>
        <v>22.5</v>
      </c>
      <c r="H81" s="87"/>
      <c r="I81" s="14"/>
      <c r="J81" s="87">
        <f>K77+K79+K80</f>
        <v>208.3</v>
      </c>
      <c r="K81" s="87"/>
      <c r="L81" s="56">
        <f>Source!U72</f>
        <v>0</v>
      </c>
      <c r="O81" s="28">
        <f>G81</f>
        <v>22.5</v>
      </c>
      <c r="P81" s="28">
        <f>J81</f>
        <v>208.3</v>
      </c>
      <c r="Q81" s="10">
        <f>L81</f>
        <v>0</v>
      </c>
      <c r="W81" s="9">
        <f>IF(Source!BI72&lt;=1,H77+H79+H80,0)</f>
        <v>22.5</v>
      </c>
      <c r="X81" s="9">
        <f>IF(Source!BI72=2,H77+H79+H80,0)</f>
        <v>0</v>
      </c>
      <c r="Y81" s="9">
        <f>IF(Source!BI72=3,H77+H79+H80,0)</f>
        <v>0</v>
      </c>
      <c r="Z81" s="9">
        <f>IF(Source!BI72=4,H77+H79+H80,0)</f>
        <v>0</v>
      </c>
    </row>
    <row r="82" spans="1:22" s="9" customFormat="1" ht="78.75">
      <c r="A82" s="45" t="str">
        <f>Source!E73</f>
        <v>10</v>
      </c>
      <c r="B82" s="46" t="str">
        <f>Source!BJ73</f>
        <v>ФЕР-2001, 01-01-033-07, приказ Минстроя России №1039/пр от 30.12.2016г.</v>
      </c>
      <c r="C82" s="46" t="str">
        <f>Source!G73</f>
        <v>При перемещении грунта на каждые последующие 5 м добавлять к расценке 01-01-033-01</v>
      </c>
      <c r="D82" s="47" t="str">
        <f>Source!H73</f>
        <v>1000 м3</v>
      </c>
      <c r="E82" s="48">
        <f>Source!I73</f>
        <v>0.039</v>
      </c>
      <c r="F82" s="49">
        <f>Source!AL73+Source!AM73+Source!AO73</f>
        <v>253.34</v>
      </c>
      <c r="G82" s="50"/>
      <c r="H82" s="51"/>
      <c r="I82" s="50" t="str">
        <f>Source!BO73</f>
        <v>РСЦ с 1.09.2017г.</v>
      </c>
      <c r="J82" s="50"/>
      <c r="K82" s="51"/>
      <c r="L82" s="52"/>
      <c r="S82" s="9">
        <f>ROUND((Source!FX73/100)*((ROUND(Source!AF73*Source!I73,1)+ROUND(Source!AE73*Source!I73,1))),1)</f>
        <v>1.8</v>
      </c>
      <c r="T82" s="9">
        <f>Source!X73</f>
        <v>31.2</v>
      </c>
      <c r="U82" s="9">
        <f>ROUND((Source!FY73/100)*((ROUND(Source!AF73*Source!I73,1)+ROUND(Source!AE73*Source!I73,1))),1)</f>
        <v>1</v>
      </c>
      <c r="V82" s="9">
        <f>Source!Y73</f>
        <v>15.4</v>
      </c>
    </row>
    <row r="83" spans="1:12" s="9" customFormat="1" ht="11.25">
      <c r="A83" s="45"/>
      <c r="B83" s="46"/>
      <c r="C83" s="46" t="s">
        <v>71</v>
      </c>
      <c r="D83" s="47"/>
      <c r="E83" s="48"/>
      <c r="F83" s="49">
        <f>Source!AM73</f>
        <v>253.34</v>
      </c>
      <c r="G83" s="50">
        <f>Source!DE73</f>
      </c>
      <c r="H83" s="51">
        <f>ROUND(Source!AD73*Source!I73,1)</f>
        <v>9.9</v>
      </c>
      <c r="I83" s="50"/>
      <c r="J83" s="50">
        <f>IF(Source!BB73&lt;&gt;0,Source!BB73,1)</f>
        <v>7.11</v>
      </c>
      <c r="K83" s="51">
        <f>Source!Q73</f>
        <v>70.2</v>
      </c>
      <c r="L83" s="52"/>
    </row>
    <row r="84" spans="1:18" s="9" customFormat="1" ht="11.25">
      <c r="A84" s="45"/>
      <c r="B84" s="46"/>
      <c r="C84" s="46" t="s">
        <v>764</v>
      </c>
      <c r="D84" s="47"/>
      <c r="E84" s="48"/>
      <c r="F84" s="49">
        <f>Source!AN73</f>
        <v>49.42</v>
      </c>
      <c r="G84" s="50">
        <f>Source!DF73</f>
      </c>
      <c r="H84" s="59">
        <f>ROUND(Source!AE73*Source!I73,1)</f>
        <v>1.9</v>
      </c>
      <c r="I84" s="50"/>
      <c r="J84" s="50">
        <f>IF(Source!BS73&lt;&gt;0,Source!BS73,1)</f>
        <v>19.96</v>
      </c>
      <c r="K84" s="59">
        <f>Source!R73</f>
        <v>38.5</v>
      </c>
      <c r="L84" s="52"/>
      <c r="R84" s="9">
        <f>H84</f>
        <v>1.9</v>
      </c>
    </row>
    <row r="85" spans="1:12" s="9" customFormat="1" ht="11.25">
      <c r="A85" s="45"/>
      <c r="B85" s="46"/>
      <c r="C85" s="46" t="s">
        <v>759</v>
      </c>
      <c r="D85" s="47" t="s">
        <v>760</v>
      </c>
      <c r="E85" s="48">
        <f>Source!BZ73</f>
        <v>95</v>
      </c>
      <c r="F85" s="53"/>
      <c r="G85" s="50"/>
      <c r="H85" s="51">
        <f>SUM(S82:S87)</f>
        <v>1.8</v>
      </c>
      <c r="I85" s="50" t="str">
        <f>CONCATENATE(Source!FX73,Source!FV73,"=")</f>
        <v>95*0,85=</v>
      </c>
      <c r="J85" s="13">
        <f>Source!AT73</f>
        <v>81</v>
      </c>
      <c r="K85" s="51">
        <f>SUM(T82:T87)</f>
        <v>31.2</v>
      </c>
      <c r="L85" s="52"/>
    </row>
    <row r="86" spans="1:12" s="9" customFormat="1" ht="11.25">
      <c r="A86" s="45"/>
      <c r="B86" s="46"/>
      <c r="C86" s="46" t="s">
        <v>761</v>
      </c>
      <c r="D86" s="47" t="s">
        <v>760</v>
      </c>
      <c r="E86" s="48">
        <f>Source!CA73</f>
        <v>50</v>
      </c>
      <c r="F86" s="53"/>
      <c r="G86" s="50"/>
      <c r="H86" s="51">
        <f>SUM(U82:U87)</f>
        <v>1</v>
      </c>
      <c r="I86" s="50" t="str">
        <f>CONCATENATE(Source!FY73,Source!FW73,"=")</f>
        <v>50*0,8=</v>
      </c>
      <c r="J86" s="13">
        <f>Source!AU73</f>
        <v>40</v>
      </c>
      <c r="K86" s="51">
        <f>SUM(V82:V87)</f>
        <v>15.4</v>
      </c>
      <c r="L86" s="52"/>
    </row>
    <row r="87" spans="1:26" s="9" customFormat="1" ht="78.75">
      <c r="A87" s="54" t="str">
        <f>Source!E74</f>
        <v>10,1</v>
      </c>
      <c r="B87" s="22" t="str">
        <f>Source!BJ74</f>
        <v>ФССЦ-2001, 02.3.01.02-0015, приказ Минстроя России №1039/пр от 30.12.2016г.</v>
      </c>
      <c r="C87" s="22" t="str">
        <f>Source!G74</f>
        <v>Песок природный для строительных работ средний</v>
      </c>
      <c r="D87" s="23" t="str">
        <f>Source!H74</f>
        <v>м3</v>
      </c>
      <c r="E87" s="24">
        <f>Source!I74</f>
        <v>39</v>
      </c>
      <c r="F87" s="25">
        <f>Source!AL74+Source!AM74+Source!AO74</f>
        <v>55.26</v>
      </c>
      <c r="G87" s="32" t="s">
        <v>3</v>
      </c>
      <c r="H87" s="27">
        <f>ROUND(Source!AC74*Source!I74,1)+ROUND(Source!AD74*Source!I74,1)+ROUND(Source!AF74*Source!I74,1)</f>
        <v>2155.1</v>
      </c>
      <c r="I87" s="26"/>
      <c r="J87" s="26">
        <f>IF(Source!BC74&lt;&gt;0,Source!BC74,1)</f>
        <v>5.66</v>
      </c>
      <c r="K87" s="27">
        <f>Source!O74</f>
        <v>12198.1</v>
      </c>
      <c r="L87" s="57"/>
      <c r="S87" s="9">
        <f>ROUND((Source!FX74/100)*((ROUND(Source!AF74*Source!I74,1)+ROUND(Source!AE74*Source!I74,1))),1)</f>
        <v>0</v>
      </c>
      <c r="T87" s="9">
        <f>Source!X74</f>
        <v>0</v>
      </c>
      <c r="U87" s="9">
        <f>ROUND((Source!FY74/100)*((ROUND(Source!AF74*Source!I74,1)+ROUND(Source!AE74*Source!I74,1))),1)</f>
        <v>0</v>
      </c>
      <c r="V87" s="9">
        <f>Source!Y74</f>
        <v>0</v>
      </c>
      <c r="W87" s="9">
        <f>IF(Source!BI74&lt;=1,H87,0)</f>
        <v>2155.1</v>
      </c>
      <c r="X87" s="9">
        <f>IF(Source!BI74=2,H87,0)</f>
        <v>0</v>
      </c>
      <c r="Y87" s="9">
        <f>IF(Source!BI74=3,H87,0)</f>
        <v>0</v>
      </c>
      <c r="Z87" s="9">
        <f>IF(Source!BI74=4,H87,0)</f>
        <v>0</v>
      </c>
    </row>
    <row r="88" spans="1:26" s="9" customFormat="1" ht="11.25">
      <c r="A88" s="43"/>
      <c r="B88" s="14"/>
      <c r="C88" s="14"/>
      <c r="D88" s="14"/>
      <c r="E88" s="14"/>
      <c r="F88" s="14"/>
      <c r="G88" s="87">
        <f>H83+H85+H86+SUM(H87:H87)</f>
        <v>2167.7999999999997</v>
      </c>
      <c r="H88" s="87"/>
      <c r="I88" s="14"/>
      <c r="J88" s="87">
        <f>K83+K85+K86+SUM(K87:K87)</f>
        <v>12314.9</v>
      </c>
      <c r="K88" s="87"/>
      <c r="L88" s="56">
        <f>Source!U73</f>
        <v>0</v>
      </c>
      <c r="O88" s="28">
        <f>G88</f>
        <v>2167.7999999999997</v>
      </c>
      <c r="P88" s="28">
        <f>J88</f>
        <v>12314.9</v>
      </c>
      <c r="Q88" s="10">
        <f>L88</f>
        <v>0</v>
      </c>
      <c r="W88" s="9">
        <f>IF(Source!BI73&lt;=1,H83+H85+H86,0)</f>
        <v>12.700000000000001</v>
      </c>
      <c r="X88" s="9">
        <f>IF(Source!BI73=2,H83+H85+H86,0)</f>
        <v>0</v>
      </c>
      <c r="Y88" s="9">
        <f>IF(Source!BI73=3,H83+H85+H86,0)</f>
        <v>0</v>
      </c>
      <c r="Z88" s="9">
        <f>IF(Source!BI73=4,H83+H85+H86,0)</f>
        <v>0</v>
      </c>
    </row>
    <row r="89" spans="1:22" s="9" customFormat="1" ht="78.75">
      <c r="A89" s="45" t="str">
        <f>Source!E75</f>
        <v>11</v>
      </c>
      <c r="B89" s="46" t="str">
        <f>Source!BJ75</f>
        <v>ФЕР-2001, 01-02-005-01, приказ Минстроя России №1039/пр от 30.12.2016г.</v>
      </c>
      <c r="C89" s="46" t="str">
        <f>Source!G75</f>
        <v>Уплотнение грунта пневматическими трамбовками, группа грунтов 1-2</v>
      </c>
      <c r="D89" s="47" t="str">
        <f>Source!H75</f>
        <v>100 м3</v>
      </c>
      <c r="E89" s="48">
        <f>Source!I75</f>
        <v>0.39</v>
      </c>
      <c r="F89" s="49">
        <f>Source!AL75+Source!AM75+Source!AO75</f>
        <v>387.18</v>
      </c>
      <c r="G89" s="50"/>
      <c r="H89" s="51"/>
      <c r="I89" s="50" t="str">
        <f>Source!BO75</f>
        <v>РСЦ с 1.09.2017г.</v>
      </c>
      <c r="J89" s="50"/>
      <c r="K89" s="51"/>
      <c r="L89" s="52"/>
      <c r="S89" s="9">
        <f>ROUND((Source!FX75/100)*((ROUND(Source!AF75*Source!I75,1)+ROUND(Source!AE75*Source!I75,1))),1)</f>
        <v>50.9</v>
      </c>
      <c r="T89" s="9">
        <f>Source!X75</f>
        <v>866.7</v>
      </c>
      <c r="U89" s="9">
        <f>ROUND((Source!FY75/100)*((ROUND(Source!AF75*Source!I75,1)+ROUND(Source!AE75*Source!I75,1))),1)</f>
        <v>26.8</v>
      </c>
      <c r="V89" s="9">
        <f>Source!Y75</f>
        <v>428</v>
      </c>
    </row>
    <row r="90" spans="1:18" s="9" customFormat="1" ht="11.25">
      <c r="A90" s="45"/>
      <c r="B90" s="46"/>
      <c r="C90" s="46" t="s">
        <v>758</v>
      </c>
      <c r="D90" s="47"/>
      <c r="E90" s="48"/>
      <c r="F90" s="49">
        <f>Source!AO75</f>
        <v>106.88</v>
      </c>
      <c r="G90" s="50">
        <f>Source!DG75</f>
      </c>
      <c r="H90" s="51">
        <f>ROUND(Source!AF75*Source!I75,1)</f>
        <v>41.7</v>
      </c>
      <c r="I90" s="50"/>
      <c r="J90" s="50">
        <f>IF(Source!BA75&lt;&gt;0,Source!BA75,1)</f>
        <v>19.96</v>
      </c>
      <c r="K90" s="51">
        <f>Source!S75</f>
        <v>832</v>
      </c>
      <c r="L90" s="52"/>
      <c r="R90" s="9">
        <f>H90</f>
        <v>41.7</v>
      </c>
    </row>
    <row r="91" spans="1:12" s="9" customFormat="1" ht="11.25">
      <c r="A91" s="45"/>
      <c r="B91" s="46"/>
      <c r="C91" s="46" t="s">
        <v>71</v>
      </c>
      <c r="D91" s="47"/>
      <c r="E91" s="48"/>
      <c r="F91" s="49">
        <f>Source!AM75</f>
        <v>280.3</v>
      </c>
      <c r="G91" s="50">
        <f>Source!DE75</f>
      </c>
      <c r="H91" s="51">
        <f>ROUND(Source!AD75*Source!I75,1)</f>
        <v>109.3</v>
      </c>
      <c r="I91" s="50"/>
      <c r="J91" s="50">
        <f>IF(Source!BB75&lt;&gt;0,Source!BB75,1)</f>
        <v>7.11</v>
      </c>
      <c r="K91" s="51">
        <f>Source!Q75</f>
        <v>777.2</v>
      </c>
      <c r="L91" s="52"/>
    </row>
    <row r="92" spans="1:18" s="9" customFormat="1" ht="11.25">
      <c r="A92" s="45"/>
      <c r="B92" s="46"/>
      <c r="C92" s="46" t="s">
        <v>764</v>
      </c>
      <c r="D92" s="47"/>
      <c r="E92" s="48"/>
      <c r="F92" s="49">
        <f>Source!AN75</f>
        <v>30.58</v>
      </c>
      <c r="G92" s="50">
        <f>Source!DF75</f>
      </c>
      <c r="H92" s="59">
        <f>ROUND(Source!AE75*Source!I75,1)</f>
        <v>11.9</v>
      </c>
      <c r="I92" s="50"/>
      <c r="J92" s="50">
        <f>IF(Source!BS75&lt;&gt;0,Source!BS75,1)</f>
        <v>19.96</v>
      </c>
      <c r="K92" s="59">
        <f>Source!R75</f>
        <v>238</v>
      </c>
      <c r="L92" s="52"/>
      <c r="R92" s="9">
        <f>H92</f>
        <v>11.9</v>
      </c>
    </row>
    <row r="93" spans="1:12" s="9" customFormat="1" ht="11.25">
      <c r="A93" s="45"/>
      <c r="B93" s="46"/>
      <c r="C93" s="46" t="s">
        <v>759</v>
      </c>
      <c r="D93" s="47" t="s">
        <v>760</v>
      </c>
      <c r="E93" s="48">
        <f>Source!BZ75</f>
        <v>95</v>
      </c>
      <c r="F93" s="53"/>
      <c r="G93" s="50"/>
      <c r="H93" s="51">
        <f>SUM(S89:S95)</f>
        <v>50.9</v>
      </c>
      <c r="I93" s="50" t="str">
        <f>CONCATENATE(Source!FX75,Source!FV75,"=")</f>
        <v>95*0,85=</v>
      </c>
      <c r="J93" s="13">
        <f>Source!AT75</f>
        <v>81</v>
      </c>
      <c r="K93" s="51">
        <f>SUM(T89:T95)</f>
        <v>866.7</v>
      </c>
      <c r="L93" s="52"/>
    </row>
    <row r="94" spans="1:12" s="9" customFormat="1" ht="11.25">
      <c r="A94" s="45"/>
      <c r="B94" s="46"/>
      <c r="C94" s="46" t="s">
        <v>761</v>
      </c>
      <c r="D94" s="47" t="s">
        <v>760</v>
      </c>
      <c r="E94" s="48">
        <f>Source!CA75</f>
        <v>50</v>
      </c>
      <c r="F94" s="53"/>
      <c r="G94" s="50"/>
      <c r="H94" s="51">
        <f>SUM(U89:U95)</f>
        <v>26.8</v>
      </c>
      <c r="I94" s="50" t="str">
        <f>CONCATENATE(Source!FY75,Source!FW75,"=")</f>
        <v>50*0,8=</v>
      </c>
      <c r="J94" s="13">
        <f>Source!AU75</f>
        <v>40</v>
      </c>
      <c r="K94" s="51">
        <f>SUM(V89:V95)</f>
        <v>428</v>
      </c>
      <c r="L94" s="52"/>
    </row>
    <row r="95" spans="1:12" s="9" customFormat="1" ht="11.25">
      <c r="A95" s="54"/>
      <c r="B95" s="22"/>
      <c r="C95" s="22" t="s">
        <v>762</v>
      </c>
      <c r="D95" s="23" t="s">
        <v>763</v>
      </c>
      <c r="E95" s="24">
        <f>Source!AQ75</f>
        <v>12.53</v>
      </c>
      <c r="F95" s="25"/>
      <c r="G95" s="26">
        <f>Source!DI75</f>
      </c>
      <c r="H95" s="27"/>
      <c r="I95" s="26"/>
      <c r="J95" s="26"/>
      <c r="K95" s="27"/>
      <c r="L95" s="55">
        <f>Source!U75</f>
        <v>4.8867</v>
      </c>
    </row>
    <row r="96" spans="1:26" s="9" customFormat="1" ht="11.25">
      <c r="A96" s="43"/>
      <c r="B96" s="14"/>
      <c r="C96" s="14"/>
      <c r="D96" s="14"/>
      <c r="E96" s="14"/>
      <c r="F96" s="14"/>
      <c r="G96" s="87">
        <f>H90+H91+H93+H94</f>
        <v>228.70000000000002</v>
      </c>
      <c r="H96" s="87"/>
      <c r="I96" s="14"/>
      <c r="J96" s="87">
        <f>K90+K91+K93+K94</f>
        <v>2903.9</v>
      </c>
      <c r="K96" s="87"/>
      <c r="L96" s="56">
        <f>Source!U75</f>
        <v>4.8867</v>
      </c>
      <c r="O96" s="28">
        <f>G96</f>
        <v>228.70000000000002</v>
      </c>
      <c r="P96" s="28">
        <f>J96</f>
        <v>2903.9</v>
      </c>
      <c r="Q96" s="10">
        <f>L96</f>
        <v>4.8867</v>
      </c>
      <c r="W96" s="9">
        <f>IF(Source!BI75&lt;=1,H90+H91+H93+H94,0)</f>
        <v>228.70000000000002</v>
      </c>
      <c r="X96" s="9">
        <f>IF(Source!BI75=2,H90+H91+H93+H94,0)</f>
        <v>0</v>
      </c>
      <c r="Y96" s="9">
        <f>IF(Source!BI75=3,H90+H91+H93+H94,0)</f>
        <v>0</v>
      </c>
      <c r="Z96" s="9">
        <f>IF(Source!BI75=4,H90+H91+H93+H94,0)</f>
        <v>0</v>
      </c>
    </row>
    <row r="97" spans="1:12" s="9" customFormat="1" ht="11.25">
      <c r="A97" s="4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44"/>
    </row>
    <row r="98" spans="1:32" s="9" customFormat="1" ht="21.75">
      <c r="A98" s="95" t="str">
        <f>CONCATENATE("Итого по разделу: ",IF(Source!G77&lt;&gt;"Новый раздел",Source!G77,""))</f>
        <v>Итого по разделу: Разработка котлована под ТП -117,9 м3. Обратная засыпка песком с послойной трамбовкой -38,9 м3</v>
      </c>
      <c r="B98" s="96"/>
      <c r="C98" s="96"/>
      <c r="D98" s="96"/>
      <c r="E98" s="96"/>
      <c r="F98" s="96"/>
      <c r="G98" s="94">
        <f>SUM(O42:O97)</f>
        <v>7312.099999999999</v>
      </c>
      <c r="H98" s="94"/>
      <c r="I98" s="58"/>
      <c r="J98" s="94">
        <f>SUM(P42:P97)</f>
        <v>63771.8</v>
      </c>
      <c r="K98" s="94"/>
      <c r="L98" s="56">
        <f>SUM(Q42:Q97)</f>
        <v>92.0267716</v>
      </c>
      <c r="AF98" s="33" t="str">
        <f>CONCATENATE("Итого по разделу: ",IF(Source!G77&lt;&gt;"Новый раздел",Source!G77,""))</f>
        <v>Итого по разделу: Разработка котлована под ТП -117,9 м3. Обратная засыпка песком с послойной трамбовкой -38,9 м3</v>
      </c>
    </row>
    <row r="99" spans="1:12" s="9" customFormat="1" ht="11.25">
      <c r="A99" s="43"/>
      <c r="B99" s="14"/>
      <c r="C99" s="73" t="str">
        <f>Source!H79</f>
        <v>Прямые затраты</v>
      </c>
      <c r="D99" s="73"/>
      <c r="E99" s="73"/>
      <c r="F99" s="73"/>
      <c r="G99" s="73"/>
      <c r="H99" s="73"/>
      <c r="I99" s="73"/>
      <c r="J99" s="86">
        <f>IF(Source!F79=0,"",Source!F79)</f>
        <v>46477.2</v>
      </c>
      <c r="K99" s="86"/>
      <c r="L99" s="44"/>
    </row>
    <row r="100" spans="1:12" s="9" customFormat="1" ht="11.25">
      <c r="A100" s="43"/>
      <c r="B100" s="14"/>
      <c r="C100" s="73" t="str">
        <f>Source!H80</f>
        <v>Стоимость материальных ресурсов (всего)</v>
      </c>
      <c r="D100" s="73"/>
      <c r="E100" s="73"/>
      <c r="F100" s="73"/>
      <c r="G100" s="73"/>
      <c r="H100" s="73"/>
      <c r="I100" s="73"/>
      <c r="J100" s="86">
        <f>IF(Source!F80=0,"",Source!F80)</f>
        <v>12203.9</v>
      </c>
      <c r="K100" s="86"/>
      <c r="L100" s="44"/>
    </row>
    <row r="101" spans="1:12" s="9" customFormat="1" ht="11.25">
      <c r="A101" s="43"/>
      <c r="B101" s="14"/>
      <c r="C101" s="73" t="str">
        <f>Source!H83</f>
        <v>Стоимость материалов (всего)</v>
      </c>
      <c r="D101" s="73"/>
      <c r="E101" s="73"/>
      <c r="F101" s="73"/>
      <c r="G101" s="73"/>
      <c r="H101" s="73"/>
      <c r="I101" s="73"/>
      <c r="J101" s="86">
        <f>IF(Source!F83=0,"",Source!F83)</f>
        <v>12203.9</v>
      </c>
      <c r="K101" s="86"/>
      <c r="L101" s="44"/>
    </row>
    <row r="102" spans="1:12" s="9" customFormat="1" ht="11.25">
      <c r="A102" s="43"/>
      <c r="B102" s="14"/>
      <c r="C102" s="73" t="str">
        <f>Source!H89</f>
        <v>Эксплуатация машин</v>
      </c>
      <c r="D102" s="73"/>
      <c r="E102" s="73"/>
      <c r="F102" s="73"/>
      <c r="G102" s="73"/>
      <c r="H102" s="73"/>
      <c r="I102" s="73"/>
      <c r="J102" s="86">
        <f>IF(Source!F89=0,"",Source!F89)</f>
        <v>20001.4</v>
      </c>
      <c r="K102" s="86"/>
      <c r="L102" s="44"/>
    </row>
    <row r="103" spans="1:12" s="9" customFormat="1" ht="11.25">
      <c r="A103" s="43"/>
      <c r="B103" s="14"/>
      <c r="C103" s="73" t="str">
        <f>Source!H91</f>
        <v>ЗП машинистов</v>
      </c>
      <c r="D103" s="73"/>
      <c r="E103" s="73"/>
      <c r="F103" s="73"/>
      <c r="G103" s="73"/>
      <c r="H103" s="73"/>
      <c r="I103" s="73"/>
      <c r="J103" s="86">
        <f>IF(Source!F91=0,"",Source!F91)</f>
        <v>1861.2</v>
      </c>
      <c r="K103" s="86"/>
      <c r="L103" s="44"/>
    </row>
    <row r="104" spans="1:12" s="9" customFormat="1" ht="11.25">
      <c r="A104" s="43"/>
      <c r="B104" s="14"/>
      <c r="C104" s="73" t="str">
        <f>Source!H92</f>
        <v>Основная ЗП рабочих</v>
      </c>
      <c r="D104" s="73"/>
      <c r="E104" s="73"/>
      <c r="F104" s="73"/>
      <c r="G104" s="73"/>
      <c r="H104" s="73"/>
      <c r="I104" s="73"/>
      <c r="J104" s="86">
        <f>IF(Source!F92=0,"",Source!F92)</f>
        <v>14271.9</v>
      </c>
      <c r="K104" s="86"/>
      <c r="L104" s="44"/>
    </row>
    <row r="105" spans="1:12" s="9" customFormat="1" ht="11.25">
      <c r="A105" s="43"/>
      <c r="B105" s="14"/>
      <c r="C105" s="73" t="str">
        <f>Source!H94</f>
        <v>Строительные работы с НР и СП</v>
      </c>
      <c r="D105" s="73"/>
      <c r="E105" s="73"/>
      <c r="F105" s="73"/>
      <c r="G105" s="73"/>
      <c r="H105" s="73"/>
      <c r="I105" s="73"/>
      <c r="J105" s="86">
        <f>IF(Source!F94=0,"",Source!F94)</f>
        <v>63771.8</v>
      </c>
      <c r="K105" s="86"/>
      <c r="L105" s="44"/>
    </row>
    <row r="106" spans="1:12" s="9" customFormat="1" ht="11.25">
      <c r="A106" s="43"/>
      <c r="B106" s="14"/>
      <c r="C106" s="73" t="str">
        <f>Source!H99</f>
        <v>Трудозатраты строителей</v>
      </c>
      <c r="D106" s="73"/>
      <c r="E106" s="73"/>
      <c r="F106" s="73"/>
      <c r="G106" s="73"/>
      <c r="H106" s="73"/>
      <c r="I106" s="73"/>
      <c r="J106" s="89">
        <f>IF(Source!F99=0,"",Source!F99)</f>
        <v>92.0267716</v>
      </c>
      <c r="K106" s="89"/>
      <c r="L106" s="44"/>
    </row>
    <row r="107" spans="1:12" s="9" customFormat="1" ht="11.25">
      <c r="A107" s="43"/>
      <c r="B107" s="14"/>
      <c r="C107" s="73" t="str">
        <f>Source!H100</f>
        <v>Трудозатраты машинистов</v>
      </c>
      <c r="D107" s="73"/>
      <c r="E107" s="73"/>
      <c r="F107" s="73"/>
      <c r="G107" s="73"/>
      <c r="H107" s="73"/>
      <c r="I107" s="73"/>
      <c r="J107" s="89">
        <f>IF(Source!F100=0,"",Source!F100)</f>
        <v>7.276088400000001</v>
      </c>
      <c r="K107" s="89"/>
      <c r="L107" s="44"/>
    </row>
    <row r="108" spans="1:12" s="9" customFormat="1" ht="11.25">
      <c r="A108" s="43"/>
      <c r="B108" s="14"/>
      <c r="C108" s="73" t="str">
        <f>Source!H102</f>
        <v>Накладные расходы</v>
      </c>
      <c r="D108" s="73"/>
      <c r="E108" s="73"/>
      <c r="F108" s="73"/>
      <c r="G108" s="73"/>
      <c r="H108" s="73"/>
      <c r="I108" s="73"/>
      <c r="J108" s="86">
        <f>IF(Source!F102=0,"",Source!F102)</f>
        <v>11365.3</v>
      </c>
      <c r="K108" s="86"/>
      <c r="L108" s="44"/>
    </row>
    <row r="109" spans="1:12" s="9" customFormat="1" ht="11.25">
      <c r="A109" s="43"/>
      <c r="B109" s="14"/>
      <c r="C109" s="73" t="str">
        <f>Source!H103</f>
        <v>Сметная прибыль</v>
      </c>
      <c r="D109" s="73"/>
      <c r="E109" s="73"/>
      <c r="F109" s="73"/>
      <c r="G109" s="73"/>
      <c r="H109" s="73"/>
      <c r="I109" s="73"/>
      <c r="J109" s="86">
        <f>IF(Source!F103=0,"",Source!F103)</f>
        <v>5929.3</v>
      </c>
      <c r="K109" s="86"/>
      <c r="L109" s="44"/>
    </row>
    <row r="110" spans="1:12" s="9" customFormat="1" ht="11.25">
      <c r="A110" s="43"/>
      <c r="B110" s="14"/>
      <c r="C110" s="73" t="str">
        <f>Source!H104</f>
        <v>Всего с НР и СП</v>
      </c>
      <c r="D110" s="73"/>
      <c r="E110" s="73"/>
      <c r="F110" s="73"/>
      <c r="G110" s="73"/>
      <c r="H110" s="73"/>
      <c r="I110" s="73"/>
      <c r="J110" s="86">
        <f>IF(Source!F104=0,"",Source!F104)</f>
        <v>63771.8</v>
      </c>
      <c r="K110" s="86"/>
      <c r="L110" s="44"/>
    </row>
    <row r="111" spans="1:12" s="9" customFormat="1" ht="11.25">
      <c r="A111" s="92" t="str">
        <f>CONCATENATE("Раздел: ",IF(Source!G106&lt;&gt;"Новый раздел",Source!G106,""))</f>
        <v>Раздел: Оборудование.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93"/>
    </row>
    <row r="112" spans="1:22" s="9" customFormat="1" ht="78.75">
      <c r="A112" s="45" t="str">
        <f>Source!E110</f>
        <v>12</v>
      </c>
      <c r="B112" s="46" t="str">
        <f>Source!BJ110</f>
        <v>ФЕРм-2001, м08-01-025-02, приказ Минстроя России №1039/пр от 30.12.2016г.</v>
      </c>
      <c r="C112" s="46" t="str">
        <f>Source!G110</f>
        <v>Подстанция комплектная трансформаторная напряжением до 10 кВ с трансформатором мощностью до 1000 кВ·А</v>
      </c>
      <c r="D112" s="47" t="str">
        <f>Source!H110</f>
        <v>ШТ</v>
      </c>
      <c r="E112" s="48">
        <f>Source!I110</f>
        <v>1</v>
      </c>
      <c r="F112" s="49">
        <f>Source!AL110+Source!AM110+Source!AO110</f>
        <v>1793.96</v>
      </c>
      <c r="G112" s="50"/>
      <c r="H112" s="51"/>
      <c r="I112" s="50" t="str">
        <f>Source!BO110</f>
        <v>РСЦ с 1.09.2017г.</v>
      </c>
      <c r="J112" s="50"/>
      <c r="K112" s="51"/>
      <c r="L112" s="52"/>
      <c r="S112" s="9">
        <f>ROUND((Source!FX110/100)*((ROUND(Source!AF110*Source!I110,1)+ROUND(Source!AE110*Source!I110,1))),1)</f>
        <v>537.6</v>
      </c>
      <c r="T112" s="9">
        <f>Source!X110</f>
        <v>9149.7</v>
      </c>
      <c r="U112" s="9">
        <f>ROUND((Source!FY110/100)*((ROUND(Source!AF110*Source!I110,1)+ROUND(Source!AE110*Source!I110,1))),1)</f>
        <v>367.8</v>
      </c>
      <c r="V112" s="9">
        <f>Source!Y110</f>
        <v>5873.9</v>
      </c>
    </row>
    <row r="113" spans="1:18" s="9" customFormat="1" ht="11.25">
      <c r="A113" s="45"/>
      <c r="B113" s="46"/>
      <c r="C113" s="46" t="s">
        <v>758</v>
      </c>
      <c r="D113" s="47"/>
      <c r="E113" s="48"/>
      <c r="F113" s="49">
        <f>Source!AO110</f>
        <v>406.93</v>
      </c>
      <c r="G113" s="50">
        <f>Source!DG110</f>
      </c>
      <c r="H113" s="51">
        <f>ROUND(Source!AF110*Source!I110,1)</f>
        <v>406.9</v>
      </c>
      <c r="I113" s="50"/>
      <c r="J113" s="50">
        <f>IF(Source!BA110&lt;&gt;0,Source!BA110,1)</f>
        <v>19.96</v>
      </c>
      <c r="K113" s="51">
        <f>Source!S110</f>
        <v>8122.3</v>
      </c>
      <c r="L113" s="52"/>
      <c r="R113" s="9">
        <f>H113</f>
        <v>406.9</v>
      </c>
    </row>
    <row r="114" spans="1:12" s="9" customFormat="1" ht="11.25">
      <c r="A114" s="45"/>
      <c r="B114" s="46"/>
      <c r="C114" s="46" t="s">
        <v>71</v>
      </c>
      <c r="D114" s="47"/>
      <c r="E114" s="48"/>
      <c r="F114" s="49">
        <f>Source!AM110</f>
        <v>1270.17</v>
      </c>
      <c r="G114" s="50">
        <f>Source!DE110</f>
      </c>
      <c r="H114" s="51">
        <f>ROUND(Source!AD110*Source!I110,1)</f>
        <v>1270.2</v>
      </c>
      <c r="I114" s="50"/>
      <c r="J114" s="50">
        <f>IF(Source!BB110&lt;&gt;0,Source!BB110,1)</f>
        <v>7.11</v>
      </c>
      <c r="K114" s="51">
        <f>Source!Q110</f>
        <v>9030.9</v>
      </c>
      <c r="L114" s="52"/>
    </row>
    <row r="115" spans="1:18" s="9" customFormat="1" ht="11.25">
      <c r="A115" s="45"/>
      <c r="B115" s="46"/>
      <c r="C115" s="46" t="s">
        <v>764</v>
      </c>
      <c r="D115" s="47"/>
      <c r="E115" s="48"/>
      <c r="F115" s="49">
        <f>Source!AN110</f>
        <v>159</v>
      </c>
      <c r="G115" s="50">
        <f>Source!DF110</f>
      </c>
      <c r="H115" s="59">
        <f>ROUND(Source!AE110*Source!I110,1)</f>
        <v>159</v>
      </c>
      <c r="I115" s="50"/>
      <c r="J115" s="50">
        <f>IF(Source!BS110&lt;&gt;0,Source!BS110,1)</f>
        <v>19.96</v>
      </c>
      <c r="K115" s="59">
        <f>Source!R110</f>
        <v>3173.6</v>
      </c>
      <c r="L115" s="52"/>
      <c r="R115" s="9">
        <f>H115</f>
        <v>159</v>
      </c>
    </row>
    <row r="116" spans="1:12" s="9" customFormat="1" ht="11.25">
      <c r="A116" s="45"/>
      <c r="B116" s="46"/>
      <c r="C116" s="46" t="s">
        <v>765</v>
      </c>
      <c r="D116" s="47"/>
      <c r="E116" s="48"/>
      <c r="F116" s="49">
        <f>Source!AL110</f>
        <v>116.86</v>
      </c>
      <c r="G116" s="50">
        <f>Source!DD110</f>
      </c>
      <c r="H116" s="51">
        <f>ROUND(Source!AC110*Source!I110,1)</f>
        <v>116.9</v>
      </c>
      <c r="I116" s="50"/>
      <c r="J116" s="50">
        <f>IF(Source!BC110&lt;&gt;0,Source!BC110,1)</f>
        <v>5.66</v>
      </c>
      <c r="K116" s="51">
        <f>Source!P110</f>
        <v>661.4</v>
      </c>
      <c r="L116" s="52"/>
    </row>
    <row r="117" spans="1:12" s="9" customFormat="1" ht="11.25">
      <c r="A117" s="45"/>
      <c r="B117" s="46"/>
      <c r="C117" s="46" t="s">
        <v>759</v>
      </c>
      <c r="D117" s="47" t="s">
        <v>760</v>
      </c>
      <c r="E117" s="48">
        <f>Source!BZ110</f>
        <v>95</v>
      </c>
      <c r="F117" s="53"/>
      <c r="G117" s="50"/>
      <c r="H117" s="51">
        <f>SUM(S112:S119)</f>
        <v>537.6</v>
      </c>
      <c r="I117" s="50" t="str">
        <f>CONCATENATE(Source!FX110,Source!FV110,"=")</f>
        <v>95*0,85=</v>
      </c>
      <c r="J117" s="13">
        <f>Source!AT110</f>
        <v>81</v>
      </c>
      <c r="K117" s="51">
        <f>SUM(T112:T119)</f>
        <v>9149.7</v>
      </c>
      <c r="L117" s="52"/>
    </row>
    <row r="118" spans="1:12" s="9" customFormat="1" ht="11.25">
      <c r="A118" s="45"/>
      <c r="B118" s="46"/>
      <c r="C118" s="46" t="s">
        <v>761</v>
      </c>
      <c r="D118" s="47" t="s">
        <v>760</v>
      </c>
      <c r="E118" s="48">
        <f>Source!CA110</f>
        <v>65</v>
      </c>
      <c r="F118" s="53"/>
      <c r="G118" s="50"/>
      <c r="H118" s="51">
        <f>SUM(U112:U119)</f>
        <v>367.8</v>
      </c>
      <c r="I118" s="50" t="str">
        <f>CONCATENATE(Source!FY110,Source!FW110,"=")</f>
        <v>65*0,8=</v>
      </c>
      <c r="J118" s="13">
        <f>Source!AU110</f>
        <v>52</v>
      </c>
      <c r="K118" s="51">
        <f>SUM(V112:V119)</f>
        <v>5873.9</v>
      </c>
      <c r="L118" s="52"/>
    </row>
    <row r="119" spans="1:12" s="9" customFormat="1" ht="11.25">
      <c r="A119" s="54"/>
      <c r="B119" s="22"/>
      <c r="C119" s="22" t="s">
        <v>762</v>
      </c>
      <c r="D119" s="23" t="s">
        <v>763</v>
      </c>
      <c r="E119" s="24">
        <f>Source!AQ110</f>
        <v>42.3</v>
      </c>
      <c r="F119" s="25"/>
      <c r="G119" s="26">
        <f>Source!DI110</f>
      </c>
      <c r="H119" s="27"/>
      <c r="I119" s="26"/>
      <c r="J119" s="26"/>
      <c r="K119" s="27"/>
      <c r="L119" s="55">
        <f>Source!U110</f>
        <v>42.3</v>
      </c>
    </row>
    <row r="120" spans="1:26" s="9" customFormat="1" ht="11.25">
      <c r="A120" s="43"/>
      <c r="B120" s="14"/>
      <c r="C120" s="14"/>
      <c r="D120" s="14"/>
      <c r="E120" s="14"/>
      <c r="F120" s="14"/>
      <c r="G120" s="87">
        <f>H113+H114+H116+H117+H118</f>
        <v>2699.4</v>
      </c>
      <c r="H120" s="87"/>
      <c r="I120" s="14"/>
      <c r="J120" s="87">
        <f>K113+K114+K116+K117+K118</f>
        <v>32838.200000000004</v>
      </c>
      <c r="K120" s="87"/>
      <c r="L120" s="56">
        <f>Source!U110</f>
        <v>42.3</v>
      </c>
      <c r="O120" s="28">
        <f>G120</f>
        <v>2699.4</v>
      </c>
      <c r="P120" s="28">
        <f>J120</f>
        <v>32838.200000000004</v>
      </c>
      <c r="Q120" s="10">
        <f>L120</f>
        <v>42.3</v>
      </c>
      <c r="W120" s="9">
        <f>IF(Source!BI110&lt;=1,H113+H114+H116+H117+H118,0)</f>
        <v>0</v>
      </c>
      <c r="X120" s="9">
        <f>IF(Source!BI110=2,H113+H114+H116+H117+H118,0)</f>
        <v>2699.4</v>
      </c>
      <c r="Y120" s="9">
        <f>IF(Source!BI110=3,H113+H114+H116+H117+H118,0)</f>
        <v>0</v>
      </c>
      <c r="Z120" s="9">
        <f>IF(Source!BI110=4,H113+H114+H116+H117+H118,0)</f>
        <v>0</v>
      </c>
    </row>
    <row r="121" spans="1:22" s="9" customFormat="1" ht="78.75">
      <c r="A121" s="60" t="str">
        <f>Source!E111</f>
        <v>13</v>
      </c>
      <c r="B121" s="34" t="s">
        <v>774</v>
      </c>
      <c r="C121" s="34" t="s">
        <v>766</v>
      </c>
      <c r="D121" s="35" t="str">
        <f>Source!H111</f>
        <v>1  шт.</v>
      </c>
      <c r="E121" s="36">
        <f>Source!I111</f>
        <v>1</v>
      </c>
      <c r="F121" s="37">
        <f>Source!AL111</f>
        <v>0</v>
      </c>
      <c r="G121" s="38" t="str">
        <f>Source!DD111</f>
        <v>=2232570/1,18/3,93</v>
      </c>
      <c r="H121" s="39">
        <f>ROUND(Source!AC111*Source!I111,1)</f>
        <v>481427.1</v>
      </c>
      <c r="I121" s="38" t="str">
        <f>Source!BO111</f>
        <v>РСЦ с 1.09.2017г.</v>
      </c>
      <c r="J121" s="38">
        <f>IF(Source!BC111&lt;&gt;0,Source!BC111,1)</f>
        <v>3.93</v>
      </c>
      <c r="K121" s="39">
        <f>Source!P111</f>
        <v>1892008.5</v>
      </c>
      <c r="L121" s="61"/>
      <c r="S121" s="9">
        <f>ROUND((Source!FX111/100)*((ROUND(Source!AF111*Source!I111,1)+ROUND(Source!AE111*Source!I111,1))),1)</f>
        <v>0</v>
      </c>
      <c r="T121" s="9">
        <f>Source!X111</f>
        <v>0</v>
      </c>
      <c r="U121" s="9">
        <f>ROUND((Source!FY111/100)*((ROUND(Source!AF111*Source!I111,1)+ROUND(Source!AE111*Source!I111,1))),1)</f>
        <v>0</v>
      </c>
      <c r="V121" s="9">
        <f>Source!Y111</f>
        <v>0</v>
      </c>
    </row>
    <row r="122" spans="1:26" s="9" customFormat="1" ht="11.25">
      <c r="A122" s="62"/>
      <c r="B122" s="63"/>
      <c r="C122" s="63"/>
      <c r="D122" s="63"/>
      <c r="E122" s="63"/>
      <c r="F122" s="63"/>
      <c r="G122" s="90">
        <f>H121</f>
        <v>481427.1</v>
      </c>
      <c r="H122" s="90"/>
      <c r="I122" s="63"/>
      <c r="J122" s="90">
        <f>K121</f>
        <v>1892008.5</v>
      </c>
      <c r="K122" s="90"/>
      <c r="L122" s="64">
        <f>Source!U111</f>
        <v>0</v>
      </c>
      <c r="O122" s="28">
        <f>G122</f>
        <v>481427.1</v>
      </c>
      <c r="P122" s="28">
        <f>J122</f>
        <v>1892008.5</v>
      </c>
      <c r="Q122" s="10">
        <f>L122</f>
        <v>0</v>
      </c>
      <c r="W122" s="9">
        <f>IF(Source!BI111&lt;=1,H121,0)</f>
        <v>0</v>
      </c>
      <c r="X122" s="9">
        <f>IF(Source!BI111=2,H121,0)</f>
        <v>0</v>
      </c>
      <c r="Y122" s="9">
        <f>IF(Source!BI111=3,H121,0)</f>
        <v>481427.1</v>
      </c>
      <c r="Z122" s="9">
        <f>IF(Source!BI111=4,H121,0)</f>
        <v>0</v>
      </c>
    </row>
    <row r="123" spans="1:22" s="9" customFormat="1" ht="78.75">
      <c r="A123" s="45" t="str">
        <f>Source!E112</f>
        <v>14</v>
      </c>
      <c r="B123" s="46" t="str">
        <f>Source!BJ112</f>
        <v>ФЕРм-2001, м08-01-062-02, приказ Минстроя России №1039/пр от 30.12.2016г.</v>
      </c>
      <c r="C123" s="46" t="str">
        <f>Source!G112</f>
        <v>Трансформатор силовой, автотрансформатор, масса до 3 т  Монтаж первого трансф-ра учтен в монтаже комплектной ТП)</v>
      </c>
      <c r="D123" s="47" t="str">
        <f>Source!H112</f>
        <v>ШТ</v>
      </c>
      <c r="E123" s="48">
        <f>Source!I112</f>
        <v>1</v>
      </c>
      <c r="F123" s="49">
        <f>Source!AL112+Source!AM112+Source!AO112</f>
        <v>1890.27</v>
      </c>
      <c r="G123" s="50"/>
      <c r="H123" s="51"/>
      <c r="I123" s="50" t="str">
        <f>Source!BO112</f>
        <v>РСЦ с 1.09.2017г.</v>
      </c>
      <c r="J123" s="50"/>
      <c r="K123" s="51"/>
      <c r="L123" s="52"/>
      <c r="S123" s="9">
        <f>ROUND((Source!FX112/100)*((ROUND(Source!AF112*Source!I112,1)+ROUND(Source!AE112*Source!I112,1))),1)</f>
        <v>389.6</v>
      </c>
      <c r="T123" s="9">
        <f>Source!X112</f>
        <v>6630</v>
      </c>
      <c r="U123" s="9">
        <f>ROUND((Source!FY112/100)*((ROUND(Source!AF112*Source!I112,1)+ROUND(Source!AE112*Source!I112,1))),1)</f>
        <v>266.6</v>
      </c>
      <c r="V123" s="9">
        <f>Source!Y112</f>
        <v>4256.3</v>
      </c>
    </row>
    <row r="124" spans="1:18" s="9" customFormat="1" ht="11.25">
      <c r="A124" s="45"/>
      <c r="B124" s="46"/>
      <c r="C124" s="46" t="s">
        <v>758</v>
      </c>
      <c r="D124" s="47"/>
      <c r="E124" s="48"/>
      <c r="F124" s="49">
        <f>Source!AO112</f>
        <v>289.56</v>
      </c>
      <c r="G124" s="50">
        <f>Source!DG112</f>
      </c>
      <c r="H124" s="51">
        <f>ROUND(Source!AF112*Source!I112,1)</f>
        <v>289.6</v>
      </c>
      <c r="I124" s="50"/>
      <c r="J124" s="50">
        <f>IF(Source!BA112&lt;&gt;0,Source!BA112,1)</f>
        <v>19.96</v>
      </c>
      <c r="K124" s="51">
        <f>Source!S112</f>
        <v>5779.6</v>
      </c>
      <c r="L124" s="52"/>
      <c r="R124" s="9">
        <f>H124</f>
        <v>289.6</v>
      </c>
    </row>
    <row r="125" spans="1:12" s="9" customFormat="1" ht="11.25">
      <c r="A125" s="45"/>
      <c r="B125" s="46"/>
      <c r="C125" s="46" t="s">
        <v>71</v>
      </c>
      <c r="D125" s="47"/>
      <c r="E125" s="48"/>
      <c r="F125" s="49">
        <f>Source!AM112</f>
        <v>888.72</v>
      </c>
      <c r="G125" s="50">
        <f>Source!DE112</f>
      </c>
      <c r="H125" s="51">
        <f>ROUND(Source!AD112*Source!I112,1)</f>
        <v>888.7</v>
      </c>
      <c r="I125" s="50"/>
      <c r="J125" s="50">
        <f>IF(Source!BB112&lt;&gt;0,Source!BB112,1)</f>
        <v>7.11</v>
      </c>
      <c r="K125" s="51">
        <f>Source!Q112</f>
        <v>6318.8</v>
      </c>
      <c r="L125" s="52"/>
    </row>
    <row r="126" spans="1:18" s="9" customFormat="1" ht="11.25">
      <c r="A126" s="45"/>
      <c r="B126" s="46"/>
      <c r="C126" s="46" t="s">
        <v>764</v>
      </c>
      <c r="D126" s="47"/>
      <c r="E126" s="48"/>
      <c r="F126" s="49">
        <f>Source!AN112</f>
        <v>120.52</v>
      </c>
      <c r="G126" s="50">
        <f>Source!DF112</f>
      </c>
      <c r="H126" s="59">
        <f>ROUND(Source!AE112*Source!I112,1)</f>
        <v>120.5</v>
      </c>
      <c r="I126" s="50"/>
      <c r="J126" s="50">
        <f>IF(Source!BS112&lt;&gt;0,Source!BS112,1)</f>
        <v>19.96</v>
      </c>
      <c r="K126" s="59">
        <f>Source!R112</f>
        <v>2405.6</v>
      </c>
      <c r="L126" s="52"/>
      <c r="R126" s="9">
        <f>H126</f>
        <v>120.5</v>
      </c>
    </row>
    <row r="127" spans="1:12" s="9" customFormat="1" ht="11.25">
      <c r="A127" s="45"/>
      <c r="B127" s="46"/>
      <c r="C127" s="46" t="s">
        <v>765</v>
      </c>
      <c r="D127" s="47"/>
      <c r="E127" s="48"/>
      <c r="F127" s="49">
        <f>Source!AL112</f>
        <v>711.99</v>
      </c>
      <c r="G127" s="50">
        <f>Source!DD112</f>
      </c>
      <c r="H127" s="51">
        <f>ROUND(Source!AC112*Source!I112,1)</f>
        <v>712</v>
      </c>
      <c r="I127" s="50"/>
      <c r="J127" s="50">
        <f>IF(Source!BC112&lt;&gt;0,Source!BC112,1)</f>
        <v>5.66</v>
      </c>
      <c r="K127" s="51">
        <f>Source!P112</f>
        <v>4029.9</v>
      </c>
      <c r="L127" s="52"/>
    </row>
    <row r="128" spans="1:12" s="9" customFormat="1" ht="11.25">
      <c r="A128" s="45"/>
      <c r="B128" s="46"/>
      <c r="C128" s="46" t="s">
        <v>759</v>
      </c>
      <c r="D128" s="47" t="s">
        <v>760</v>
      </c>
      <c r="E128" s="48">
        <f>Source!BZ112</f>
        <v>95</v>
      </c>
      <c r="F128" s="53"/>
      <c r="G128" s="50"/>
      <c r="H128" s="51">
        <f>SUM(S123:S131)</f>
        <v>389.6</v>
      </c>
      <c r="I128" s="50" t="str">
        <f>CONCATENATE(Source!FX112,Source!FV112,"=")</f>
        <v>95*0,85=</v>
      </c>
      <c r="J128" s="13">
        <f>Source!AT112</f>
        <v>81</v>
      </c>
      <c r="K128" s="51">
        <f>SUM(T123:T131)</f>
        <v>6630</v>
      </c>
      <c r="L128" s="52"/>
    </row>
    <row r="129" spans="1:12" s="9" customFormat="1" ht="11.25">
      <c r="A129" s="45"/>
      <c r="B129" s="46"/>
      <c r="C129" s="46" t="s">
        <v>761</v>
      </c>
      <c r="D129" s="47" t="s">
        <v>760</v>
      </c>
      <c r="E129" s="48">
        <f>Source!CA112</f>
        <v>65</v>
      </c>
      <c r="F129" s="53"/>
      <c r="G129" s="50"/>
      <c r="H129" s="51">
        <f>SUM(U123:U131)</f>
        <v>266.6</v>
      </c>
      <c r="I129" s="50" t="str">
        <f>CONCATENATE(Source!FY112,Source!FW112,"=")</f>
        <v>65*0,8=</v>
      </c>
      <c r="J129" s="13">
        <f>Source!AU112</f>
        <v>52</v>
      </c>
      <c r="K129" s="51">
        <f>SUM(V123:V131)</f>
        <v>4256.3</v>
      </c>
      <c r="L129" s="52"/>
    </row>
    <row r="130" spans="1:12" s="9" customFormat="1" ht="11.25">
      <c r="A130" s="45"/>
      <c r="B130" s="46"/>
      <c r="C130" s="46" t="s">
        <v>762</v>
      </c>
      <c r="D130" s="47" t="s">
        <v>763</v>
      </c>
      <c r="E130" s="48">
        <f>Source!AQ112</f>
        <v>30.1</v>
      </c>
      <c r="F130" s="49"/>
      <c r="G130" s="50">
        <f>Source!DI112</f>
      </c>
      <c r="H130" s="51"/>
      <c r="I130" s="50"/>
      <c r="J130" s="50"/>
      <c r="K130" s="51"/>
      <c r="L130" s="65">
        <f>Source!U112</f>
        <v>30.1</v>
      </c>
    </row>
    <row r="131" spans="1:26" s="9" customFormat="1" ht="33.75">
      <c r="A131" s="60" t="str">
        <f>Source!E113</f>
        <v>14,1</v>
      </c>
      <c r="B131" s="34" t="s">
        <v>774</v>
      </c>
      <c r="C131" s="34" t="s">
        <v>767</v>
      </c>
      <c r="D131" s="35" t="str">
        <f>Source!H113</f>
        <v>1  шт.</v>
      </c>
      <c r="E131" s="36">
        <f>Source!I113</f>
        <v>2</v>
      </c>
      <c r="F131" s="37">
        <f>Source!AL113+Source!AM113+Source!AO113</f>
        <v>0</v>
      </c>
      <c r="G131" s="40" t="s">
        <v>171</v>
      </c>
      <c r="H131" s="39">
        <f>ROUND(Source!AC113*Source!I113,1)+ROUND(Source!AD113*Source!I113,1)+ROUND(Source!AF113*Source!I113,1)</f>
        <v>140583.5</v>
      </c>
      <c r="I131" s="38"/>
      <c r="J131" s="38">
        <f>IF(Source!BC113&lt;&gt;0,Source!BC113,1)</f>
        <v>3.93</v>
      </c>
      <c r="K131" s="39">
        <f>Source!O113</f>
        <v>552493.2</v>
      </c>
      <c r="L131" s="61"/>
      <c r="S131" s="9">
        <f>ROUND((Source!FX113/100)*((ROUND(Source!AF113*Source!I113,1)+ROUND(Source!AE113*Source!I113,1))),1)</f>
        <v>0</v>
      </c>
      <c r="T131" s="9">
        <f>Source!X113</f>
        <v>0</v>
      </c>
      <c r="U131" s="9">
        <f>ROUND((Source!FY113/100)*((ROUND(Source!AF113*Source!I113,1)+ROUND(Source!AE113*Source!I113,1))),1)</f>
        <v>0</v>
      </c>
      <c r="V131" s="9">
        <f>Source!Y113</f>
        <v>0</v>
      </c>
      <c r="W131" s="9">
        <f>IF(Source!BI113&lt;=1,H131,0)</f>
        <v>0</v>
      </c>
      <c r="X131" s="9">
        <f>IF(Source!BI113=2,H131,0)</f>
        <v>0</v>
      </c>
      <c r="Y131" s="9">
        <f>IF(Source!BI113=3,H131,0)</f>
        <v>140583.5</v>
      </c>
      <c r="Z131" s="9">
        <f>IF(Source!BI113=4,H131,0)</f>
        <v>0</v>
      </c>
    </row>
    <row r="132" spans="1:26" s="9" customFormat="1" ht="11.25">
      <c r="A132" s="43"/>
      <c r="B132" s="14"/>
      <c r="C132" s="14"/>
      <c r="D132" s="14"/>
      <c r="E132" s="14"/>
      <c r="F132" s="14"/>
      <c r="G132" s="87">
        <f>H124+H125+H127+H128+H129+SUM(H131:H131)</f>
        <v>143130</v>
      </c>
      <c r="H132" s="87"/>
      <c r="I132" s="14"/>
      <c r="J132" s="87">
        <f>K124+K125+K127+K128+K129+SUM(K131:K131)</f>
        <v>579507.7999999999</v>
      </c>
      <c r="K132" s="87"/>
      <c r="L132" s="56">
        <f>Source!U112</f>
        <v>30.1</v>
      </c>
      <c r="O132" s="28">
        <f>G132</f>
        <v>143130</v>
      </c>
      <c r="P132" s="28">
        <f>J132</f>
        <v>579507.7999999999</v>
      </c>
      <c r="Q132" s="10">
        <f>L132</f>
        <v>30.1</v>
      </c>
      <c r="W132" s="9">
        <f>IF(Source!BI112&lt;=1,H124+H125+H127+H128+H129,0)</f>
        <v>0</v>
      </c>
      <c r="X132" s="9">
        <f>IF(Source!BI112=2,H124+H125+H127+H128+H129,0)</f>
        <v>2546.5</v>
      </c>
      <c r="Y132" s="9">
        <f>IF(Source!BI112=3,H124+H125+H127+H128+H129,0)</f>
        <v>0</v>
      </c>
      <c r="Z132" s="9">
        <f>IF(Source!BI112=4,H124+H125+H127+H128+H129,0)</f>
        <v>0</v>
      </c>
    </row>
    <row r="133" spans="1:12" s="9" customFormat="1" ht="11.25">
      <c r="A133" s="95" t="str">
        <f>CONCATENATE("Итого по разделу: ",IF(Source!G115&lt;&gt;"Новый раздел",Source!G115,""))</f>
        <v>Итого по разделу: Оборудование.</v>
      </c>
      <c r="B133" s="96"/>
      <c r="C133" s="96"/>
      <c r="D133" s="96"/>
      <c r="E133" s="96"/>
      <c r="F133" s="96"/>
      <c r="G133" s="94">
        <f>SUM(O111:O132)</f>
        <v>627256.5</v>
      </c>
      <c r="H133" s="94"/>
      <c r="I133" s="58"/>
      <c r="J133" s="94">
        <f>SUM(P111:P132)</f>
        <v>2504354.5</v>
      </c>
      <c r="K133" s="94"/>
      <c r="L133" s="56">
        <f>SUM(Q111:Q132)</f>
        <v>72.4</v>
      </c>
    </row>
    <row r="134" spans="1:12" s="9" customFormat="1" ht="11.25">
      <c r="A134" s="43"/>
      <c r="B134" s="14"/>
      <c r="C134" s="73" t="str">
        <f>Source!H117</f>
        <v>Прямые затраты</v>
      </c>
      <c r="D134" s="73"/>
      <c r="E134" s="73"/>
      <c r="F134" s="73"/>
      <c r="G134" s="73"/>
      <c r="H134" s="73"/>
      <c r="I134" s="73"/>
      <c r="J134" s="86">
        <f>IF(Source!F117=0,"",Source!F117)</f>
        <v>2478444.6</v>
      </c>
      <c r="K134" s="86"/>
      <c r="L134" s="44"/>
    </row>
    <row r="135" spans="1:12" s="9" customFormat="1" ht="11.25">
      <c r="A135" s="43"/>
      <c r="B135" s="14"/>
      <c r="C135" s="73" t="str">
        <f>Source!H118</f>
        <v>Стоимость материальных ресурсов (всего)</v>
      </c>
      <c r="D135" s="73"/>
      <c r="E135" s="73"/>
      <c r="F135" s="73"/>
      <c r="G135" s="73"/>
      <c r="H135" s="73"/>
      <c r="I135" s="73"/>
      <c r="J135" s="86">
        <f>IF(Source!F118=0,"",Source!F118)</f>
        <v>2449193</v>
      </c>
      <c r="K135" s="86"/>
      <c r="L135" s="44"/>
    </row>
    <row r="136" spans="1:12" s="9" customFormat="1" ht="11.25">
      <c r="A136" s="43"/>
      <c r="B136" s="14"/>
      <c r="C136" s="73" t="str">
        <f>Source!H121</f>
        <v>Стоимость материалов (всего)</v>
      </c>
      <c r="D136" s="73"/>
      <c r="E136" s="73"/>
      <c r="F136" s="73"/>
      <c r="G136" s="73"/>
      <c r="H136" s="73"/>
      <c r="I136" s="73"/>
      <c r="J136" s="86">
        <f>IF(Source!F121=0,"",Source!F121)</f>
        <v>4691.3</v>
      </c>
      <c r="K136" s="86"/>
      <c r="L136" s="44"/>
    </row>
    <row r="137" spans="1:12" s="9" customFormat="1" ht="11.25">
      <c r="A137" s="43"/>
      <c r="B137" s="14"/>
      <c r="C137" s="73" t="str">
        <f>Source!H124</f>
        <v>Стоимость оборудования (всего)</v>
      </c>
      <c r="D137" s="73"/>
      <c r="E137" s="73"/>
      <c r="F137" s="73"/>
      <c r="G137" s="73"/>
      <c r="H137" s="73"/>
      <c r="I137" s="73"/>
      <c r="J137" s="86">
        <f>IF(Source!F124=0,"",Source!F124)</f>
        <v>2444501.7</v>
      </c>
      <c r="K137" s="86"/>
      <c r="L137" s="44"/>
    </row>
    <row r="138" spans="1:12" s="9" customFormat="1" ht="11.25">
      <c r="A138" s="43"/>
      <c r="B138" s="14"/>
      <c r="C138" s="73" t="str">
        <f>Source!H127</f>
        <v>Эксплуатация машин</v>
      </c>
      <c r="D138" s="73"/>
      <c r="E138" s="73"/>
      <c r="F138" s="73"/>
      <c r="G138" s="73"/>
      <c r="H138" s="73"/>
      <c r="I138" s="73"/>
      <c r="J138" s="86">
        <f>IF(Source!F127=0,"",Source!F127)</f>
        <v>15349.7</v>
      </c>
      <c r="K138" s="86"/>
      <c r="L138" s="44"/>
    </row>
    <row r="139" spans="1:12" s="9" customFormat="1" ht="11.25">
      <c r="A139" s="43"/>
      <c r="B139" s="14"/>
      <c r="C139" s="73" t="str">
        <f>Source!H129</f>
        <v>ЗП машинистов</v>
      </c>
      <c r="D139" s="73"/>
      <c r="E139" s="73"/>
      <c r="F139" s="73"/>
      <c r="G139" s="73"/>
      <c r="H139" s="73"/>
      <c r="I139" s="73"/>
      <c r="J139" s="86">
        <f>IF(Source!F129=0,"",Source!F129)</f>
        <v>5579.2</v>
      </c>
      <c r="K139" s="86"/>
      <c r="L139" s="44"/>
    </row>
    <row r="140" spans="1:12" s="9" customFormat="1" ht="11.25">
      <c r="A140" s="43"/>
      <c r="B140" s="14"/>
      <c r="C140" s="73" t="str">
        <f>Source!H130</f>
        <v>Основная ЗП рабочих</v>
      </c>
      <c r="D140" s="73"/>
      <c r="E140" s="73"/>
      <c r="F140" s="73"/>
      <c r="G140" s="73"/>
      <c r="H140" s="73"/>
      <c r="I140" s="73"/>
      <c r="J140" s="86">
        <f>IF(Source!F130=0,"",Source!F130)</f>
        <v>13901.9</v>
      </c>
      <c r="K140" s="86"/>
      <c r="L140" s="44"/>
    </row>
    <row r="141" spans="1:12" s="9" customFormat="1" ht="11.25">
      <c r="A141" s="43"/>
      <c r="B141" s="14"/>
      <c r="C141" s="73" t="str">
        <f>Source!H133</f>
        <v>Монтажные работы с НР и СП</v>
      </c>
      <c r="D141" s="73"/>
      <c r="E141" s="73"/>
      <c r="F141" s="73"/>
      <c r="G141" s="73"/>
      <c r="H141" s="73"/>
      <c r="I141" s="73"/>
      <c r="J141" s="86">
        <f>IF(Source!F133=0,"",Source!F133)</f>
        <v>59852.8</v>
      </c>
      <c r="K141" s="86"/>
      <c r="L141" s="44"/>
    </row>
    <row r="142" spans="1:12" s="9" customFormat="1" ht="11.25">
      <c r="A142" s="43"/>
      <c r="B142" s="14"/>
      <c r="C142" s="73" t="str">
        <f>Source!H137</f>
        <v>Трудозатраты строителей</v>
      </c>
      <c r="D142" s="73"/>
      <c r="E142" s="73"/>
      <c r="F142" s="73"/>
      <c r="G142" s="73"/>
      <c r="H142" s="73"/>
      <c r="I142" s="73"/>
      <c r="J142" s="89">
        <f>IF(Source!F137=0,"",Source!F137)</f>
        <v>72.4</v>
      </c>
      <c r="K142" s="89"/>
      <c r="L142" s="44"/>
    </row>
    <row r="143" spans="1:12" s="9" customFormat="1" ht="11.25">
      <c r="A143" s="43"/>
      <c r="B143" s="14"/>
      <c r="C143" s="73" t="str">
        <f>Source!H140</f>
        <v>Накладные расходы</v>
      </c>
      <c r="D143" s="73"/>
      <c r="E143" s="73"/>
      <c r="F143" s="73"/>
      <c r="G143" s="73"/>
      <c r="H143" s="73"/>
      <c r="I143" s="73"/>
      <c r="J143" s="86">
        <f>IF(Source!F140=0,"",Source!F140)</f>
        <v>15779.7</v>
      </c>
      <c r="K143" s="86"/>
      <c r="L143" s="44"/>
    </row>
    <row r="144" spans="1:12" s="9" customFormat="1" ht="11.25">
      <c r="A144" s="43"/>
      <c r="B144" s="14"/>
      <c r="C144" s="73" t="str">
        <f>Source!H141</f>
        <v>Сметная прибыль</v>
      </c>
      <c r="D144" s="73"/>
      <c r="E144" s="73"/>
      <c r="F144" s="73"/>
      <c r="G144" s="73"/>
      <c r="H144" s="73"/>
      <c r="I144" s="73"/>
      <c r="J144" s="86">
        <f>IF(Source!F141=0,"",Source!F141)</f>
        <v>10130.2</v>
      </c>
      <c r="K144" s="86"/>
      <c r="L144" s="44"/>
    </row>
    <row r="145" spans="1:12" s="9" customFormat="1" ht="11.25">
      <c r="A145" s="43"/>
      <c r="B145" s="14"/>
      <c r="C145" s="73" t="str">
        <f>Source!H142</f>
        <v>Всего с НР и СП</v>
      </c>
      <c r="D145" s="73"/>
      <c r="E145" s="73"/>
      <c r="F145" s="73"/>
      <c r="G145" s="73"/>
      <c r="H145" s="73"/>
      <c r="I145" s="73"/>
      <c r="J145" s="86">
        <f>IF(Source!F142=0,"",Source!F142)</f>
        <v>2504354.5</v>
      </c>
      <c r="K145" s="86"/>
      <c r="L145" s="44"/>
    </row>
    <row r="146" spans="1:12" s="9" customFormat="1" ht="11.25">
      <c r="A146" s="92" t="str">
        <f>CONCATENATE("Раздел: ",IF(Source!G144&lt;&gt;"Новый раздел",Source!G144,""))</f>
        <v>Раздел: Фундаменты под БКТП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93"/>
    </row>
    <row r="147" spans="1:22" s="9" customFormat="1" ht="78.75">
      <c r="A147" s="45" t="str">
        <f>Source!E148</f>
        <v>15</v>
      </c>
      <c r="B147" s="46" t="str">
        <f>Source!BJ148</f>
        <v>ФЕР-2001, 01-02-057-02, приказ Минстроя России №1039/пр от 30.12.2016г.</v>
      </c>
      <c r="C147" s="46" t="str">
        <f>Source!G148</f>
        <v>Разработка грунта вручную в траншеях глубиной до 2 м без креплений с откосами, группа грунтов 2</v>
      </c>
      <c r="D147" s="47" t="str">
        <f>Source!H148</f>
        <v>100 м3</v>
      </c>
      <c r="E147" s="48">
        <f>Source!I148</f>
        <v>0.2</v>
      </c>
      <c r="F147" s="49">
        <f>Source!AL148+Source!AM148+Source!AO148</f>
        <v>1201.2</v>
      </c>
      <c r="G147" s="50"/>
      <c r="H147" s="51"/>
      <c r="I147" s="50" t="str">
        <f>Source!BO148</f>
        <v>РСЦ с 1.09.2017г.</v>
      </c>
      <c r="J147" s="50"/>
      <c r="K147" s="51"/>
      <c r="L147" s="52"/>
      <c r="S147" s="9">
        <f>ROUND((Source!FX148/100)*((ROUND(Source!AF148*Source!I148,1)+ROUND(Source!AE148*Source!I148,1))),1)</f>
        <v>192.2</v>
      </c>
      <c r="T147" s="9">
        <f>Source!X148</f>
        <v>3260.7</v>
      </c>
      <c r="U147" s="9">
        <f>ROUND((Source!FY148/100)*((ROUND(Source!AF148*Source!I148,1)+ROUND(Source!AE148*Source!I148,1))),1)</f>
        <v>108.1</v>
      </c>
      <c r="V147" s="9">
        <f>Source!Y148</f>
        <v>1726.3</v>
      </c>
    </row>
    <row r="148" spans="1:18" s="9" customFormat="1" ht="11.25">
      <c r="A148" s="45"/>
      <c r="B148" s="46"/>
      <c r="C148" s="46" t="s">
        <v>758</v>
      </c>
      <c r="D148" s="47"/>
      <c r="E148" s="48"/>
      <c r="F148" s="49">
        <f>Source!AO148</f>
        <v>1201.2</v>
      </c>
      <c r="G148" s="50">
        <f>Source!DG148</f>
      </c>
      <c r="H148" s="51">
        <f>ROUND(Source!AF148*Source!I148,1)</f>
        <v>240.2</v>
      </c>
      <c r="I148" s="50"/>
      <c r="J148" s="50">
        <f>IF(Source!BA148&lt;&gt;0,Source!BA148,1)</f>
        <v>19.96</v>
      </c>
      <c r="K148" s="51">
        <f>Source!S148</f>
        <v>4795.2</v>
      </c>
      <c r="L148" s="52"/>
      <c r="R148" s="9">
        <f>H148</f>
        <v>240.2</v>
      </c>
    </row>
    <row r="149" spans="1:12" s="9" customFormat="1" ht="11.25">
      <c r="A149" s="45"/>
      <c r="B149" s="46"/>
      <c r="C149" s="46" t="s">
        <v>759</v>
      </c>
      <c r="D149" s="47" t="s">
        <v>760</v>
      </c>
      <c r="E149" s="48">
        <f>Source!BZ148</f>
        <v>80</v>
      </c>
      <c r="F149" s="53"/>
      <c r="G149" s="50"/>
      <c r="H149" s="51">
        <f>SUM(S147:S151)</f>
        <v>192.2</v>
      </c>
      <c r="I149" s="50" t="str">
        <f>CONCATENATE(Source!FX148,Source!FV148,"=")</f>
        <v>80*0,85=</v>
      </c>
      <c r="J149" s="13">
        <f>Source!AT148</f>
        <v>68</v>
      </c>
      <c r="K149" s="51">
        <f>SUM(T147:T151)</f>
        <v>3260.7</v>
      </c>
      <c r="L149" s="52"/>
    </row>
    <row r="150" spans="1:12" s="9" customFormat="1" ht="11.25">
      <c r="A150" s="45"/>
      <c r="B150" s="46"/>
      <c r="C150" s="46" t="s">
        <v>761</v>
      </c>
      <c r="D150" s="47" t="s">
        <v>760</v>
      </c>
      <c r="E150" s="48">
        <f>Source!CA148</f>
        <v>45</v>
      </c>
      <c r="F150" s="53"/>
      <c r="G150" s="50"/>
      <c r="H150" s="51">
        <f>SUM(U147:U151)</f>
        <v>108.1</v>
      </c>
      <c r="I150" s="50" t="str">
        <f>CONCATENATE(Source!FY148,Source!FW148,"=")</f>
        <v>45*0,8=</v>
      </c>
      <c r="J150" s="13">
        <f>Source!AU148</f>
        <v>36</v>
      </c>
      <c r="K150" s="51">
        <f>SUM(V147:V151)</f>
        <v>1726.3</v>
      </c>
      <c r="L150" s="52"/>
    </row>
    <row r="151" spans="1:12" s="9" customFormat="1" ht="11.25">
      <c r="A151" s="54"/>
      <c r="B151" s="22"/>
      <c r="C151" s="22" t="s">
        <v>762</v>
      </c>
      <c r="D151" s="23" t="s">
        <v>763</v>
      </c>
      <c r="E151" s="24">
        <f>Source!AQ148</f>
        <v>154</v>
      </c>
      <c r="F151" s="25"/>
      <c r="G151" s="26">
        <f>Source!DI148</f>
      </c>
      <c r="H151" s="27"/>
      <c r="I151" s="26"/>
      <c r="J151" s="26"/>
      <c r="K151" s="27"/>
      <c r="L151" s="55">
        <f>Source!U148</f>
        <v>30.8</v>
      </c>
    </row>
    <row r="152" spans="1:26" s="9" customFormat="1" ht="11.25">
      <c r="A152" s="43"/>
      <c r="B152" s="14"/>
      <c r="C152" s="14"/>
      <c r="D152" s="14"/>
      <c r="E152" s="14"/>
      <c r="F152" s="14"/>
      <c r="G152" s="87">
        <f>H148+H149+H150</f>
        <v>540.5</v>
      </c>
      <c r="H152" s="87"/>
      <c r="I152" s="14"/>
      <c r="J152" s="87">
        <f>K148+K149+K150</f>
        <v>9782.199999999999</v>
      </c>
      <c r="K152" s="87"/>
      <c r="L152" s="56">
        <f>Source!U148</f>
        <v>30.8</v>
      </c>
      <c r="O152" s="28">
        <f>G152</f>
        <v>540.5</v>
      </c>
      <c r="P152" s="28">
        <f>J152</f>
        <v>9782.199999999999</v>
      </c>
      <c r="Q152" s="10">
        <f>L152</f>
        <v>30.8</v>
      </c>
      <c r="W152" s="9">
        <f>IF(Source!BI148&lt;=1,H148+H149+H150,0)</f>
        <v>540.5</v>
      </c>
      <c r="X152" s="9">
        <f>IF(Source!BI148=2,H148+H149+H150,0)</f>
        <v>0</v>
      </c>
      <c r="Y152" s="9">
        <f>IF(Source!BI148=3,H148+H149+H150,0)</f>
        <v>0</v>
      </c>
      <c r="Z152" s="9">
        <f>IF(Source!BI148=4,H148+H149+H150,0)</f>
        <v>0</v>
      </c>
    </row>
    <row r="153" spans="1:22" s="9" customFormat="1" ht="78.75">
      <c r="A153" s="45" t="str">
        <f>Source!E149</f>
        <v>16</v>
      </c>
      <c r="B153" s="46" t="str">
        <f>Source!BJ149</f>
        <v>ФЕР-2001, 01-02-005-01, приказ Минстроя России №1039/пр от 30.12.2016г.</v>
      </c>
      <c r="C153" s="46" t="str">
        <f>Source!G149</f>
        <v>Уплотнение грунта пневматическими трамбовками, группа грунтов 1-2</v>
      </c>
      <c r="D153" s="47" t="str">
        <f>Source!H149</f>
        <v>100 м3</v>
      </c>
      <c r="E153" s="48">
        <f>Source!I149</f>
        <v>0.1</v>
      </c>
      <c r="F153" s="49">
        <f>Source!AL149+Source!AM149+Source!AO149</f>
        <v>387.18</v>
      </c>
      <c r="G153" s="50"/>
      <c r="H153" s="51"/>
      <c r="I153" s="50" t="str">
        <f>Source!BO149</f>
        <v>РСЦ с 1.09.2017г.</v>
      </c>
      <c r="J153" s="50"/>
      <c r="K153" s="51"/>
      <c r="L153" s="52"/>
      <c r="S153" s="9">
        <f>ROUND((Source!FX149/100)*((ROUND(Source!AF149*Source!I149,1)+ROUND(Source!AE149*Source!I149,1))),1)</f>
        <v>13.1</v>
      </c>
      <c r="T153" s="9">
        <f>Source!X149</f>
        <v>222.2</v>
      </c>
      <c r="U153" s="9">
        <f>ROUND((Source!FY149/100)*((ROUND(Source!AF149*Source!I149,1)+ROUND(Source!AE149*Source!I149,1))),1)</f>
        <v>6.9</v>
      </c>
      <c r="V153" s="9">
        <f>Source!Y149</f>
        <v>109.7</v>
      </c>
    </row>
    <row r="154" spans="1:18" s="9" customFormat="1" ht="11.25">
      <c r="A154" s="45"/>
      <c r="B154" s="46"/>
      <c r="C154" s="46" t="s">
        <v>758</v>
      </c>
      <c r="D154" s="47"/>
      <c r="E154" s="48"/>
      <c r="F154" s="49">
        <f>Source!AO149</f>
        <v>106.88</v>
      </c>
      <c r="G154" s="50">
        <f>Source!DG149</f>
      </c>
      <c r="H154" s="51">
        <f>ROUND(Source!AF149*Source!I149,1)</f>
        <v>10.7</v>
      </c>
      <c r="I154" s="50"/>
      <c r="J154" s="50">
        <f>IF(Source!BA149&lt;&gt;0,Source!BA149,1)</f>
        <v>19.96</v>
      </c>
      <c r="K154" s="51">
        <f>Source!S149</f>
        <v>213.3</v>
      </c>
      <c r="L154" s="52"/>
      <c r="R154" s="9">
        <f>H154</f>
        <v>10.7</v>
      </c>
    </row>
    <row r="155" spans="1:12" s="9" customFormat="1" ht="11.25">
      <c r="A155" s="45"/>
      <c r="B155" s="46"/>
      <c r="C155" s="46" t="s">
        <v>71</v>
      </c>
      <c r="D155" s="47"/>
      <c r="E155" s="48"/>
      <c r="F155" s="49">
        <f>Source!AM149</f>
        <v>280.3</v>
      </c>
      <c r="G155" s="50">
        <f>Source!DE149</f>
      </c>
      <c r="H155" s="51">
        <f>ROUND(Source!AD149*Source!I149,1)</f>
        <v>28</v>
      </c>
      <c r="I155" s="50"/>
      <c r="J155" s="50">
        <f>IF(Source!BB149&lt;&gt;0,Source!BB149,1)</f>
        <v>7.11</v>
      </c>
      <c r="K155" s="51">
        <f>Source!Q149</f>
        <v>199.3</v>
      </c>
      <c r="L155" s="52"/>
    </row>
    <row r="156" spans="1:18" s="9" customFormat="1" ht="11.25">
      <c r="A156" s="45"/>
      <c r="B156" s="46"/>
      <c r="C156" s="46" t="s">
        <v>764</v>
      </c>
      <c r="D156" s="47"/>
      <c r="E156" s="48"/>
      <c r="F156" s="49">
        <f>Source!AN149</f>
        <v>30.58</v>
      </c>
      <c r="G156" s="50">
        <f>Source!DF149</f>
      </c>
      <c r="H156" s="59">
        <f>ROUND(Source!AE149*Source!I149,1)</f>
        <v>3.1</v>
      </c>
      <c r="I156" s="50"/>
      <c r="J156" s="50">
        <f>IF(Source!BS149&lt;&gt;0,Source!BS149,1)</f>
        <v>19.96</v>
      </c>
      <c r="K156" s="59">
        <f>Source!R149</f>
        <v>61</v>
      </c>
      <c r="L156" s="52"/>
      <c r="R156" s="9">
        <f>H156</f>
        <v>3.1</v>
      </c>
    </row>
    <row r="157" spans="1:12" s="9" customFormat="1" ht="11.25">
      <c r="A157" s="45"/>
      <c r="B157" s="46"/>
      <c r="C157" s="46" t="s">
        <v>759</v>
      </c>
      <c r="D157" s="47" t="s">
        <v>760</v>
      </c>
      <c r="E157" s="48">
        <f>Source!BZ149</f>
        <v>95</v>
      </c>
      <c r="F157" s="53"/>
      <c r="G157" s="50"/>
      <c r="H157" s="51">
        <f>SUM(S153:S159)</f>
        <v>13.1</v>
      </c>
      <c r="I157" s="50" t="str">
        <f>CONCATENATE(Source!FX149,Source!FV149,"=")</f>
        <v>95*0,85=</v>
      </c>
      <c r="J157" s="13">
        <f>Source!AT149</f>
        <v>81</v>
      </c>
      <c r="K157" s="51">
        <f>SUM(T153:T159)</f>
        <v>222.2</v>
      </c>
      <c r="L157" s="52"/>
    </row>
    <row r="158" spans="1:12" s="9" customFormat="1" ht="11.25">
      <c r="A158" s="45"/>
      <c r="B158" s="46"/>
      <c r="C158" s="46" t="s">
        <v>761</v>
      </c>
      <c r="D158" s="47" t="s">
        <v>760</v>
      </c>
      <c r="E158" s="48">
        <f>Source!CA149</f>
        <v>50</v>
      </c>
      <c r="F158" s="53"/>
      <c r="G158" s="50"/>
      <c r="H158" s="51">
        <f>SUM(U153:U159)</f>
        <v>6.9</v>
      </c>
      <c r="I158" s="50" t="str">
        <f>CONCATENATE(Source!FY149,Source!FW149,"=")</f>
        <v>50*0,8=</v>
      </c>
      <c r="J158" s="13">
        <f>Source!AU149</f>
        <v>40</v>
      </c>
      <c r="K158" s="51">
        <f>SUM(V153:V159)</f>
        <v>109.7</v>
      </c>
      <c r="L158" s="52"/>
    </row>
    <row r="159" spans="1:12" s="9" customFormat="1" ht="11.25">
      <c r="A159" s="54"/>
      <c r="B159" s="22"/>
      <c r="C159" s="22" t="s">
        <v>762</v>
      </c>
      <c r="D159" s="23" t="s">
        <v>763</v>
      </c>
      <c r="E159" s="24">
        <f>Source!AQ149</f>
        <v>12.53</v>
      </c>
      <c r="F159" s="25"/>
      <c r="G159" s="26">
        <f>Source!DI149</f>
      </c>
      <c r="H159" s="27"/>
      <c r="I159" s="26"/>
      <c r="J159" s="26"/>
      <c r="K159" s="27"/>
      <c r="L159" s="55">
        <f>Source!U149</f>
        <v>1.2530000000000001</v>
      </c>
    </row>
    <row r="160" spans="1:26" s="9" customFormat="1" ht="11.25">
      <c r="A160" s="43"/>
      <c r="B160" s="14"/>
      <c r="C160" s="14"/>
      <c r="D160" s="14"/>
      <c r="E160" s="14"/>
      <c r="F160" s="14"/>
      <c r="G160" s="87">
        <f>H154+H155+H157+H158</f>
        <v>58.7</v>
      </c>
      <c r="H160" s="87"/>
      <c r="I160" s="14"/>
      <c r="J160" s="87">
        <f>K154+K155+K157+K158</f>
        <v>744.5</v>
      </c>
      <c r="K160" s="87"/>
      <c r="L160" s="56">
        <f>Source!U149</f>
        <v>1.2530000000000001</v>
      </c>
      <c r="O160" s="28">
        <f>G160</f>
        <v>58.7</v>
      </c>
      <c r="P160" s="28">
        <f>J160</f>
        <v>744.5</v>
      </c>
      <c r="Q160" s="10">
        <f>L160</f>
        <v>1.2530000000000001</v>
      </c>
      <c r="W160" s="9">
        <f>IF(Source!BI149&lt;=1,H154+H155+H157+H158,0)</f>
        <v>58.7</v>
      </c>
      <c r="X160" s="9">
        <f>IF(Source!BI149=2,H154+H155+H157+H158,0)</f>
        <v>0</v>
      </c>
      <c r="Y160" s="9">
        <f>IF(Source!BI149=3,H154+H155+H157+H158,0)</f>
        <v>0</v>
      </c>
      <c r="Z160" s="9">
        <f>IF(Source!BI149=4,H154+H155+H157+H158,0)</f>
        <v>0</v>
      </c>
    </row>
    <row r="161" spans="1:22" s="9" customFormat="1" ht="78.75">
      <c r="A161" s="45" t="str">
        <f>Source!E150</f>
        <v>17</v>
      </c>
      <c r="B161" s="46" t="str">
        <f>Source!BJ150</f>
        <v>ФЕР-2001, 27-04-001-01, приказ Минстроя России №1039/пр от 30.12.2016г.</v>
      </c>
      <c r="C161" s="46" t="str">
        <f>Source!G150</f>
        <v>Устройство подстилающих и выравнивающих слоев оснований из песка</v>
      </c>
      <c r="D161" s="47" t="str">
        <f>Source!H150</f>
        <v>100 м3</v>
      </c>
      <c r="E161" s="48">
        <f>Source!I150</f>
        <v>0.5</v>
      </c>
      <c r="F161" s="49">
        <f>Source!AL150+Source!AM150+Source!AO150</f>
        <v>2281.99</v>
      </c>
      <c r="G161" s="50"/>
      <c r="H161" s="51"/>
      <c r="I161" s="50" t="str">
        <f>Source!BO150</f>
        <v>РСЦ с 1.09.2017г.</v>
      </c>
      <c r="J161" s="50"/>
      <c r="K161" s="51"/>
      <c r="L161" s="52"/>
      <c r="S161" s="9">
        <f>ROUND((Source!FX150/100)*((ROUND(Source!AF150*Source!I150,1)+ROUND(Source!AE150*Source!I150,1))),1)</f>
        <v>215.6</v>
      </c>
      <c r="T161" s="9">
        <f>Source!X150</f>
        <v>3666.9</v>
      </c>
      <c r="U161" s="9">
        <f>ROUND((Source!FY150/100)*((ROUND(Source!AF150*Source!I150,1)+ROUND(Source!AE150*Source!I150,1))),1)</f>
        <v>144.2</v>
      </c>
      <c r="V161" s="9">
        <f>Source!Y150</f>
        <v>2303.2</v>
      </c>
    </row>
    <row r="162" spans="1:18" s="9" customFormat="1" ht="11.25">
      <c r="A162" s="45"/>
      <c r="B162" s="46"/>
      <c r="C162" s="46" t="s">
        <v>758</v>
      </c>
      <c r="D162" s="47"/>
      <c r="E162" s="48"/>
      <c r="F162" s="49">
        <f>Source!AO150</f>
        <v>126.07</v>
      </c>
      <c r="G162" s="50">
        <f>Source!DG150</f>
      </c>
      <c r="H162" s="51">
        <f>ROUND(Source!AF150*Source!I150,1)</f>
        <v>63</v>
      </c>
      <c r="I162" s="50"/>
      <c r="J162" s="50">
        <f>IF(Source!BA150&lt;&gt;0,Source!BA150,1)</f>
        <v>19.96</v>
      </c>
      <c r="K162" s="51">
        <f>Source!S150</f>
        <v>1258.2</v>
      </c>
      <c r="L162" s="52"/>
      <c r="R162" s="9">
        <f>H162</f>
        <v>63</v>
      </c>
    </row>
    <row r="163" spans="1:12" s="9" customFormat="1" ht="11.25">
      <c r="A163" s="45"/>
      <c r="B163" s="46"/>
      <c r="C163" s="46" t="s">
        <v>71</v>
      </c>
      <c r="D163" s="47"/>
      <c r="E163" s="48"/>
      <c r="F163" s="49">
        <f>Source!AM150</f>
        <v>2143.72</v>
      </c>
      <c r="G163" s="50">
        <f>Source!DE150</f>
      </c>
      <c r="H163" s="51">
        <f>ROUND(Source!AD150*Source!I150,1)</f>
        <v>1071.9</v>
      </c>
      <c r="I163" s="50"/>
      <c r="J163" s="50">
        <f>IF(Source!BB150&lt;&gt;0,Source!BB150,1)</f>
        <v>7.11</v>
      </c>
      <c r="K163" s="51">
        <f>Source!Q150</f>
        <v>7620.9</v>
      </c>
      <c r="L163" s="52"/>
    </row>
    <row r="164" spans="1:18" s="9" customFormat="1" ht="11.25">
      <c r="A164" s="45"/>
      <c r="B164" s="46"/>
      <c r="C164" s="46" t="s">
        <v>764</v>
      </c>
      <c r="D164" s="47"/>
      <c r="E164" s="48"/>
      <c r="F164" s="49">
        <f>Source!AN150</f>
        <v>177.59</v>
      </c>
      <c r="G164" s="50">
        <f>Source!DF150</f>
      </c>
      <c r="H164" s="59">
        <f>ROUND(Source!AE150*Source!I150,1)</f>
        <v>88.8</v>
      </c>
      <c r="I164" s="50"/>
      <c r="J164" s="50">
        <f>IF(Source!BS150&lt;&gt;0,Source!BS150,1)</f>
        <v>19.96</v>
      </c>
      <c r="K164" s="59">
        <f>Source!R150</f>
        <v>1772.3</v>
      </c>
      <c r="L164" s="52"/>
      <c r="R164" s="9">
        <f>H164</f>
        <v>88.8</v>
      </c>
    </row>
    <row r="165" spans="1:12" s="9" customFormat="1" ht="11.25">
      <c r="A165" s="45"/>
      <c r="B165" s="46"/>
      <c r="C165" s="46" t="s">
        <v>765</v>
      </c>
      <c r="D165" s="47"/>
      <c r="E165" s="48"/>
      <c r="F165" s="49">
        <f>Source!AL150</f>
        <v>12.2</v>
      </c>
      <c r="G165" s="50">
        <f>Source!DD150</f>
      </c>
      <c r="H165" s="51">
        <f>ROUND(Source!AC150*Source!I150,1)</f>
        <v>6.1</v>
      </c>
      <c r="I165" s="50"/>
      <c r="J165" s="50">
        <f>IF(Source!BC150&lt;&gt;0,Source!BC150,1)</f>
        <v>5.66</v>
      </c>
      <c r="K165" s="51">
        <f>Source!P150</f>
        <v>34.5</v>
      </c>
      <c r="L165" s="52"/>
    </row>
    <row r="166" spans="1:12" s="9" customFormat="1" ht="11.25">
      <c r="A166" s="45"/>
      <c r="B166" s="46"/>
      <c r="C166" s="46" t="s">
        <v>759</v>
      </c>
      <c r="D166" s="47" t="s">
        <v>760</v>
      </c>
      <c r="E166" s="48">
        <f>Source!BZ150</f>
        <v>142</v>
      </c>
      <c r="F166" s="53"/>
      <c r="G166" s="50"/>
      <c r="H166" s="51">
        <f>SUM(S161:S169)</f>
        <v>215.6</v>
      </c>
      <c r="I166" s="50" t="str">
        <f>CONCATENATE(Source!FX150,Source!FV150,"=")</f>
        <v>142*0,85=</v>
      </c>
      <c r="J166" s="13">
        <f>Source!AT150</f>
        <v>121</v>
      </c>
      <c r="K166" s="51">
        <f>SUM(T161:T169)</f>
        <v>3666.9</v>
      </c>
      <c r="L166" s="52"/>
    </row>
    <row r="167" spans="1:12" s="9" customFormat="1" ht="11.25">
      <c r="A167" s="45"/>
      <c r="B167" s="46"/>
      <c r="C167" s="46" t="s">
        <v>761</v>
      </c>
      <c r="D167" s="47" t="s">
        <v>760</v>
      </c>
      <c r="E167" s="48">
        <f>Source!CA150</f>
        <v>95</v>
      </c>
      <c r="F167" s="53"/>
      <c r="G167" s="50"/>
      <c r="H167" s="51">
        <f>SUM(U161:U169)</f>
        <v>144.2</v>
      </c>
      <c r="I167" s="50" t="str">
        <f>CONCATENATE(Source!FY150,Source!FW150,"=")</f>
        <v>95*0,8=</v>
      </c>
      <c r="J167" s="13">
        <f>Source!AU150</f>
        <v>76</v>
      </c>
      <c r="K167" s="51">
        <f>SUM(V161:V169)</f>
        <v>2303.2</v>
      </c>
      <c r="L167" s="52"/>
    </row>
    <row r="168" spans="1:12" s="9" customFormat="1" ht="11.25">
      <c r="A168" s="45"/>
      <c r="B168" s="46"/>
      <c r="C168" s="46" t="s">
        <v>762</v>
      </c>
      <c r="D168" s="47" t="s">
        <v>763</v>
      </c>
      <c r="E168" s="48">
        <f>Source!AQ150</f>
        <v>15.72</v>
      </c>
      <c r="F168" s="49"/>
      <c r="G168" s="50">
        <f>Source!DI150</f>
      </c>
      <c r="H168" s="51"/>
      <c r="I168" s="50"/>
      <c r="J168" s="50"/>
      <c r="K168" s="51"/>
      <c r="L168" s="65">
        <f>Source!U150</f>
        <v>7.86</v>
      </c>
    </row>
    <row r="169" spans="1:26" s="9" customFormat="1" ht="78.75">
      <c r="A169" s="54" t="str">
        <f>Source!E151</f>
        <v>17,1</v>
      </c>
      <c r="B169" s="22" t="str">
        <f>Source!BJ151</f>
        <v>ФССЦ-2001, 02.3.01.02-0015, приказ Минстроя России №1039/пр от 30.12.2016г.</v>
      </c>
      <c r="C169" s="22" t="str">
        <f>Source!G151</f>
        <v>Песок природный для строительных работ средний</v>
      </c>
      <c r="D169" s="23" t="str">
        <f>Source!H151</f>
        <v>м3</v>
      </c>
      <c r="E169" s="24">
        <f>Source!I151</f>
        <v>50</v>
      </c>
      <c r="F169" s="25">
        <f>Source!AL151+Source!AM151+Source!AO151</f>
        <v>55.26</v>
      </c>
      <c r="G169" s="32" t="s">
        <v>3</v>
      </c>
      <c r="H169" s="27">
        <f>ROUND(Source!AC151*Source!I151,1)+ROUND(Source!AD151*Source!I151,1)+ROUND(Source!AF151*Source!I151,1)</f>
        <v>2763</v>
      </c>
      <c r="I169" s="26"/>
      <c r="J169" s="26">
        <f>IF(Source!BC151&lt;&gt;0,Source!BC151,1)</f>
        <v>5.66</v>
      </c>
      <c r="K169" s="27">
        <f>Source!O151</f>
        <v>15638.6</v>
      </c>
      <c r="L169" s="57"/>
      <c r="S169" s="9">
        <f>ROUND((Source!FX151/100)*((ROUND(Source!AF151*Source!I151,1)+ROUND(Source!AE151*Source!I151,1))),1)</f>
        <v>0</v>
      </c>
      <c r="T169" s="9">
        <f>Source!X151</f>
        <v>0</v>
      </c>
      <c r="U169" s="9">
        <f>ROUND((Source!FY151/100)*((ROUND(Source!AF151*Source!I151,1)+ROUND(Source!AE151*Source!I151,1))),1)</f>
        <v>0</v>
      </c>
      <c r="V169" s="9">
        <f>Source!Y151</f>
        <v>0</v>
      </c>
      <c r="W169" s="9">
        <f>IF(Source!BI151&lt;=1,H169,0)</f>
        <v>2763</v>
      </c>
      <c r="X169" s="9">
        <f>IF(Source!BI151=2,H169,0)</f>
        <v>0</v>
      </c>
      <c r="Y169" s="9">
        <f>IF(Source!BI151=3,H169,0)</f>
        <v>0</v>
      </c>
      <c r="Z169" s="9">
        <f>IF(Source!BI151=4,H169,0)</f>
        <v>0</v>
      </c>
    </row>
    <row r="170" spans="1:26" s="9" customFormat="1" ht="11.25">
      <c r="A170" s="43"/>
      <c r="B170" s="14"/>
      <c r="C170" s="14"/>
      <c r="D170" s="14"/>
      <c r="E170" s="14"/>
      <c r="F170" s="14"/>
      <c r="G170" s="87">
        <f>H162+H163+H165+H166+H167+SUM(H169:H169)</f>
        <v>4263.8</v>
      </c>
      <c r="H170" s="87"/>
      <c r="I170" s="14"/>
      <c r="J170" s="87">
        <f>K162+K163+K165+K166+K167+SUM(K169:K169)</f>
        <v>30522.300000000003</v>
      </c>
      <c r="K170" s="87"/>
      <c r="L170" s="56">
        <f>Source!U150</f>
        <v>7.86</v>
      </c>
      <c r="O170" s="28">
        <f>G170</f>
        <v>4263.8</v>
      </c>
      <c r="P170" s="28">
        <f>J170</f>
        <v>30522.300000000003</v>
      </c>
      <c r="Q170" s="10">
        <f>L170</f>
        <v>7.86</v>
      </c>
      <c r="W170" s="9">
        <f>IF(Source!BI150&lt;=1,H162+H163+H165+H166+H167,0)</f>
        <v>1500.8</v>
      </c>
      <c r="X170" s="9">
        <f>IF(Source!BI150=2,H162+H163+H165+H166+H167,0)</f>
        <v>0</v>
      </c>
      <c r="Y170" s="9">
        <f>IF(Source!BI150=3,H162+H163+H165+H166+H167,0)</f>
        <v>0</v>
      </c>
      <c r="Z170" s="9">
        <f>IF(Source!BI150=4,H162+H163+H165+H166+H167,0)</f>
        <v>0</v>
      </c>
    </row>
    <row r="171" spans="1:22" s="9" customFormat="1" ht="78.75">
      <c r="A171" s="45" t="str">
        <f>Source!E152</f>
        <v>18</v>
      </c>
      <c r="B171" s="46" t="str">
        <f>Source!BJ152</f>
        <v>ФЕР-2001, 06-01-001-01, приказ Минстроя России №1039/пр от 30.12.2016г.</v>
      </c>
      <c r="C171" s="46" t="str">
        <f>Source!G152</f>
        <v>Устройство бетонной подготовки</v>
      </c>
      <c r="D171" s="47" t="str">
        <f>Source!H152</f>
        <v>100 м3</v>
      </c>
      <c r="E171" s="48">
        <f>Source!I152</f>
        <v>0.07</v>
      </c>
      <c r="F171" s="49">
        <f>Source!AL152+Source!AM152+Source!AO152</f>
        <v>3897.23</v>
      </c>
      <c r="G171" s="50"/>
      <c r="H171" s="51"/>
      <c r="I171" s="50" t="str">
        <f>Source!BO152</f>
        <v>РСЦ с 1.09.2017г.</v>
      </c>
      <c r="J171" s="50"/>
      <c r="K171" s="51"/>
      <c r="L171" s="52"/>
      <c r="S171" s="9">
        <f>ROUND((Source!FX152/100)*((ROUND(Source!AF152*Source!I152,1)+ROUND(Source!AE152*Source!I152,1))),1)</f>
        <v>121.2</v>
      </c>
      <c r="T171" s="9">
        <f>Source!X152</f>
        <v>2049.9</v>
      </c>
      <c r="U171" s="9">
        <f>ROUND((Source!FY152/100)*((ROUND(Source!AF152*Source!I152,1)+ROUND(Source!AE152*Source!I152,1))),1)</f>
        <v>75</v>
      </c>
      <c r="V171" s="9">
        <f>Source!Y152</f>
        <v>1197.7</v>
      </c>
    </row>
    <row r="172" spans="1:18" s="9" customFormat="1" ht="11.25">
      <c r="A172" s="45"/>
      <c r="B172" s="46"/>
      <c r="C172" s="46" t="s">
        <v>758</v>
      </c>
      <c r="D172" s="47"/>
      <c r="E172" s="48"/>
      <c r="F172" s="49">
        <f>Source!AO152</f>
        <v>1404</v>
      </c>
      <c r="G172" s="50">
        <f>Source!DG152</f>
      </c>
      <c r="H172" s="51">
        <f>ROUND(Source!AF152*Source!I152,1)</f>
        <v>98.3</v>
      </c>
      <c r="I172" s="50"/>
      <c r="J172" s="50">
        <f>IF(Source!BA152&lt;&gt;0,Source!BA152,1)</f>
        <v>19.96</v>
      </c>
      <c r="K172" s="51">
        <f>Source!S152</f>
        <v>1961.7</v>
      </c>
      <c r="L172" s="52"/>
      <c r="R172" s="9">
        <f>H172</f>
        <v>98.3</v>
      </c>
    </row>
    <row r="173" spans="1:12" s="9" customFormat="1" ht="11.25">
      <c r="A173" s="45"/>
      <c r="B173" s="46"/>
      <c r="C173" s="46" t="s">
        <v>71</v>
      </c>
      <c r="D173" s="47"/>
      <c r="E173" s="48"/>
      <c r="F173" s="49">
        <f>Source!AM152</f>
        <v>1587.74</v>
      </c>
      <c r="G173" s="50">
        <f>Source!DE152</f>
      </c>
      <c r="H173" s="51">
        <f>ROUND(Source!AD152*Source!I152,1)</f>
        <v>111.1</v>
      </c>
      <c r="I173" s="50"/>
      <c r="J173" s="50">
        <f>IF(Source!BB152&lt;&gt;0,Source!BB152,1)</f>
        <v>7.11</v>
      </c>
      <c r="K173" s="51">
        <f>Source!Q152</f>
        <v>790.2</v>
      </c>
      <c r="L173" s="52"/>
    </row>
    <row r="174" spans="1:18" s="9" customFormat="1" ht="11.25">
      <c r="A174" s="45"/>
      <c r="B174" s="46"/>
      <c r="C174" s="46" t="s">
        <v>764</v>
      </c>
      <c r="D174" s="47"/>
      <c r="E174" s="48"/>
      <c r="F174" s="49">
        <f>Source!AN152</f>
        <v>244.51</v>
      </c>
      <c r="G174" s="50">
        <f>Source!DF152</f>
      </c>
      <c r="H174" s="59">
        <f>ROUND(Source!AE152*Source!I152,1)</f>
        <v>17.1</v>
      </c>
      <c r="I174" s="50"/>
      <c r="J174" s="50">
        <f>IF(Source!BS152&lt;&gt;0,Source!BS152,1)</f>
        <v>19.96</v>
      </c>
      <c r="K174" s="59">
        <f>Source!R152</f>
        <v>341.6</v>
      </c>
      <c r="L174" s="52"/>
      <c r="R174" s="9">
        <f>H174</f>
        <v>17.1</v>
      </c>
    </row>
    <row r="175" spans="1:12" s="9" customFormat="1" ht="11.25">
      <c r="A175" s="45"/>
      <c r="B175" s="46"/>
      <c r="C175" s="46" t="s">
        <v>765</v>
      </c>
      <c r="D175" s="47"/>
      <c r="E175" s="48"/>
      <c r="F175" s="49">
        <f>Source!AL152</f>
        <v>905.49</v>
      </c>
      <c r="G175" s="50">
        <f>Source!DD152</f>
      </c>
      <c r="H175" s="51">
        <f>ROUND(Source!AC152*Source!I152,1)</f>
        <v>63.4</v>
      </c>
      <c r="I175" s="50"/>
      <c r="J175" s="50">
        <f>IF(Source!BC152&lt;&gt;0,Source!BC152,1)</f>
        <v>5.66</v>
      </c>
      <c r="K175" s="51">
        <f>Source!P152</f>
        <v>358.8</v>
      </c>
      <c r="L175" s="52"/>
    </row>
    <row r="176" spans="1:12" s="9" customFormat="1" ht="11.25">
      <c r="A176" s="45"/>
      <c r="B176" s="46"/>
      <c r="C176" s="46" t="s">
        <v>759</v>
      </c>
      <c r="D176" s="47" t="s">
        <v>760</v>
      </c>
      <c r="E176" s="48">
        <f>Source!BZ152</f>
        <v>105</v>
      </c>
      <c r="F176" s="53"/>
      <c r="G176" s="50"/>
      <c r="H176" s="51">
        <f>SUM(S171:S179)</f>
        <v>121.2</v>
      </c>
      <c r="I176" s="50" t="str">
        <f>CONCATENATE(Source!FX152,Source!FV152,"=")</f>
        <v>105*0,85=</v>
      </c>
      <c r="J176" s="13">
        <f>Source!AT152</f>
        <v>89</v>
      </c>
      <c r="K176" s="51">
        <f>SUM(T171:T179)</f>
        <v>2049.9</v>
      </c>
      <c r="L176" s="52"/>
    </row>
    <row r="177" spans="1:12" s="9" customFormat="1" ht="11.25">
      <c r="A177" s="45"/>
      <c r="B177" s="46"/>
      <c r="C177" s="46" t="s">
        <v>761</v>
      </c>
      <c r="D177" s="47" t="s">
        <v>760</v>
      </c>
      <c r="E177" s="48">
        <f>Source!CA152</f>
        <v>65</v>
      </c>
      <c r="F177" s="53"/>
      <c r="G177" s="50"/>
      <c r="H177" s="51">
        <f>SUM(U171:U179)</f>
        <v>75</v>
      </c>
      <c r="I177" s="50" t="str">
        <f>CONCATENATE(Source!FY152,Source!FW152,"=")</f>
        <v>65*0,8=</v>
      </c>
      <c r="J177" s="13">
        <f>Source!AU152</f>
        <v>52</v>
      </c>
      <c r="K177" s="51">
        <f>SUM(V171:V179)</f>
        <v>1197.7</v>
      </c>
      <c r="L177" s="52"/>
    </row>
    <row r="178" spans="1:12" s="9" customFormat="1" ht="11.25">
      <c r="A178" s="45"/>
      <c r="B178" s="46"/>
      <c r="C178" s="46" t="s">
        <v>762</v>
      </c>
      <c r="D178" s="47" t="s">
        <v>763</v>
      </c>
      <c r="E178" s="48">
        <f>Source!AQ152</f>
        <v>180</v>
      </c>
      <c r="F178" s="49"/>
      <c r="G178" s="50">
        <f>Source!DI152</f>
      </c>
      <c r="H178" s="51"/>
      <c r="I178" s="50"/>
      <c r="J178" s="50"/>
      <c r="K178" s="51"/>
      <c r="L178" s="65">
        <f>Source!U152</f>
        <v>12.600000000000001</v>
      </c>
    </row>
    <row r="179" spans="1:26" s="9" customFormat="1" ht="78.75">
      <c r="A179" s="54" t="str">
        <f>Source!E153</f>
        <v>18,1</v>
      </c>
      <c r="B179" s="22" t="str">
        <f>Source!BJ153</f>
        <v>ФССЦ-2001, 04.1.02.05-0026, приказ Минстроя России №1039/пр от 30.12.2016г.</v>
      </c>
      <c r="C179" s="22" t="str">
        <f>Source!G153</f>
        <v>Бетон тяжелый, крупность заполнителя 10 мм, класс В15 (М200)</v>
      </c>
      <c r="D179" s="23" t="str">
        <f>Source!H153</f>
        <v>м3</v>
      </c>
      <c r="E179" s="24">
        <f>Source!I153</f>
        <v>7.14</v>
      </c>
      <c r="F179" s="25">
        <f>Source!AL153+Source!AM153+Source!AO153</f>
        <v>665</v>
      </c>
      <c r="G179" s="32" t="s">
        <v>3</v>
      </c>
      <c r="H179" s="27">
        <f>ROUND(Source!AC153*Source!I153,1)+ROUND(Source!AD153*Source!I153,1)+ROUND(Source!AF153*Source!I153,1)</f>
        <v>4748.1</v>
      </c>
      <c r="I179" s="26"/>
      <c r="J179" s="26">
        <f>IF(Source!BC153&lt;&gt;0,Source!BC153,1)</f>
        <v>5.66</v>
      </c>
      <c r="K179" s="27">
        <f>Source!O153</f>
        <v>26874.2</v>
      </c>
      <c r="L179" s="57"/>
      <c r="S179" s="9">
        <f>ROUND((Source!FX153/100)*((ROUND(Source!AF153*Source!I153,1)+ROUND(Source!AE153*Source!I153,1))),1)</f>
        <v>0</v>
      </c>
      <c r="T179" s="9">
        <f>Source!X153</f>
        <v>0</v>
      </c>
      <c r="U179" s="9">
        <f>ROUND((Source!FY153/100)*((ROUND(Source!AF153*Source!I153,1)+ROUND(Source!AE153*Source!I153,1))),1)</f>
        <v>0</v>
      </c>
      <c r="V179" s="9">
        <f>Source!Y153</f>
        <v>0</v>
      </c>
      <c r="W179" s="9">
        <f>IF(Source!BI153&lt;=1,H179,0)</f>
        <v>4748.1</v>
      </c>
      <c r="X179" s="9">
        <f>IF(Source!BI153=2,H179,0)</f>
        <v>0</v>
      </c>
      <c r="Y179" s="9">
        <f>IF(Source!BI153=3,H179,0)</f>
        <v>0</v>
      </c>
      <c r="Z179" s="9">
        <f>IF(Source!BI153=4,H179,0)</f>
        <v>0</v>
      </c>
    </row>
    <row r="180" spans="1:26" s="9" customFormat="1" ht="11.25">
      <c r="A180" s="43"/>
      <c r="B180" s="14"/>
      <c r="C180" s="14"/>
      <c r="D180" s="14"/>
      <c r="E180" s="14"/>
      <c r="F180" s="14"/>
      <c r="G180" s="87">
        <f>H172+H173+H175+H176+H177+SUM(H179:H179)</f>
        <v>5217.1</v>
      </c>
      <c r="H180" s="87"/>
      <c r="I180" s="14"/>
      <c r="J180" s="87">
        <f>K172+K173+K175+K176+K177+SUM(K179:K179)</f>
        <v>33232.5</v>
      </c>
      <c r="K180" s="87"/>
      <c r="L180" s="56">
        <f>Source!U152</f>
        <v>12.600000000000001</v>
      </c>
      <c r="O180" s="28">
        <f>G180</f>
        <v>5217.1</v>
      </c>
      <c r="P180" s="28">
        <f>J180</f>
        <v>33232.5</v>
      </c>
      <c r="Q180" s="10">
        <f>L180</f>
        <v>12.600000000000001</v>
      </c>
      <c r="W180" s="9">
        <f>IF(Source!BI152&lt;=1,H172+H173+H175+H176+H177,0)</f>
        <v>468.99999999999994</v>
      </c>
      <c r="X180" s="9">
        <f>IF(Source!BI152=2,H172+H173+H175+H176+H177,0)</f>
        <v>0</v>
      </c>
      <c r="Y180" s="9">
        <f>IF(Source!BI152=3,H172+H173+H175+H176+H177,0)</f>
        <v>0</v>
      </c>
      <c r="Z180" s="9">
        <f>IF(Source!BI152=4,H172+H173+H175+H176+H177,0)</f>
        <v>0</v>
      </c>
    </row>
    <row r="181" spans="1:22" s="9" customFormat="1" ht="78.75">
      <c r="A181" s="45" t="str">
        <f>Source!E154</f>
        <v>19</v>
      </c>
      <c r="B181" s="46" t="str">
        <f>Source!BJ154</f>
        <v>ФЕР-2001, 07-05-001-01, приказ Минстроя России №1039/пр от 30.12.2016г.</v>
      </c>
      <c r="C181" s="46" t="str">
        <f>Source!G154</f>
        <v>Установка блоков стен подвалов массой до 0,5 т</v>
      </c>
      <c r="D181" s="47" t="str">
        <f>Source!H154</f>
        <v>100 ШТ</v>
      </c>
      <c r="E181" s="48">
        <f>Source!I154</f>
        <v>0.22</v>
      </c>
      <c r="F181" s="49">
        <f>Source!AL154+Source!AM154+Source!AO154</f>
        <v>3083.32</v>
      </c>
      <c r="G181" s="50"/>
      <c r="H181" s="51"/>
      <c r="I181" s="50" t="str">
        <f>Source!BO154</f>
        <v>РСЦ с 1.09.2017г.</v>
      </c>
      <c r="J181" s="50"/>
      <c r="K181" s="51"/>
      <c r="L181" s="52"/>
      <c r="S181" s="9">
        <f>ROUND((Source!FX154/100)*((ROUND(Source!AF154*Source!I154,1)+ROUND(Source!AE154*Source!I154,1))),1)</f>
        <v>253.7</v>
      </c>
      <c r="T181" s="9">
        <f>Source!X154</f>
        <v>4314.2</v>
      </c>
      <c r="U181" s="9">
        <f>ROUND((Source!FY154/100)*((ROUND(Source!AF154*Source!I154,1)+ROUND(Source!AE154*Source!I154,1))),1)</f>
        <v>163.7</v>
      </c>
      <c r="V181" s="9">
        <f>Source!Y154</f>
        <v>2614.6</v>
      </c>
    </row>
    <row r="182" spans="1:18" s="9" customFormat="1" ht="11.25">
      <c r="A182" s="45"/>
      <c r="B182" s="46"/>
      <c r="C182" s="46" t="s">
        <v>758</v>
      </c>
      <c r="D182" s="47"/>
      <c r="E182" s="48"/>
      <c r="F182" s="49">
        <f>Source!AO154</f>
        <v>461.82</v>
      </c>
      <c r="G182" s="50">
        <f>Source!DG154</f>
      </c>
      <c r="H182" s="51">
        <f>ROUND(Source!AF154*Source!I154,1)</f>
        <v>101.6</v>
      </c>
      <c r="I182" s="50"/>
      <c r="J182" s="50">
        <f>IF(Source!BA154&lt;&gt;0,Source!BA154,1)</f>
        <v>19.96</v>
      </c>
      <c r="K182" s="51">
        <f>Source!S154</f>
        <v>2027.9</v>
      </c>
      <c r="L182" s="52"/>
      <c r="R182" s="9">
        <f>H182</f>
        <v>101.6</v>
      </c>
    </row>
    <row r="183" spans="1:12" s="9" customFormat="1" ht="11.25">
      <c r="A183" s="45"/>
      <c r="B183" s="46"/>
      <c r="C183" s="46" t="s">
        <v>71</v>
      </c>
      <c r="D183" s="47"/>
      <c r="E183" s="48"/>
      <c r="F183" s="49">
        <f>Source!AM154</f>
        <v>1997.74</v>
      </c>
      <c r="G183" s="50">
        <f>Source!DE154</f>
      </c>
      <c r="H183" s="51">
        <f>ROUND(Source!AD154*Source!I154,1)</f>
        <v>439.5</v>
      </c>
      <c r="I183" s="50"/>
      <c r="J183" s="50">
        <f>IF(Source!BB154&lt;&gt;0,Source!BB154,1)</f>
        <v>7.11</v>
      </c>
      <c r="K183" s="51">
        <f>Source!Q154</f>
        <v>3124.9</v>
      </c>
      <c r="L183" s="52"/>
    </row>
    <row r="184" spans="1:18" s="9" customFormat="1" ht="11.25">
      <c r="A184" s="45"/>
      <c r="B184" s="46"/>
      <c r="C184" s="46" t="s">
        <v>764</v>
      </c>
      <c r="D184" s="47"/>
      <c r="E184" s="48"/>
      <c r="F184" s="49">
        <f>Source!AN154</f>
        <v>282.48</v>
      </c>
      <c r="G184" s="50">
        <f>Source!DF154</f>
      </c>
      <c r="H184" s="59">
        <f>ROUND(Source!AE154*Source!I154,1)</f>
        <v>62.1</v>
      </c>
      <c r="I184" s="50"/>
      <c r="J184" s="50">
        <f>IF(Source!BS154&lt;&gt;0,Source!BS154,1)</f>
        <v>19.96</v>
      </c>
      <c r="K184" s="59">
        <f>Source!R154</f>
        <v>1240.4</v>
      </c>
      <c r="L184" s="52"/>
      <c r="R184" s="9">
        <f>H184</f>
        <v>62.1</v>
      </c>
    </row>
    <row r="185" spans="1:12" s="9" customFormat="1" ht="11.25">
      <c r="A185" s="45"/>
      <c r="B185" s="46"/>
      <c r="C185" s="46" t="s">
        <v>765</v>
      </c>
      <c r="D185" s="47"/>
      <c r="E185" s="48"/>
      <c r="F185" s="49">
        <f>Source!AL154</f>
        <v>623.76</v>
      </c>
      <c r="G185" s="50">
        <f>Source!DD154</f>
      </c>
      <c r="H185" s="51">
        <f>ROUND(Source!AC154*Source!I154,1)</f>
        <v>137.2</v>
      </c>
      <c r="I185" s="50"/>
      <c r="J185" s="50">
        <f>IF(Source!BC154&lt;&gt;0,Source!BC154,1)</f>
        <v>5.66</v>
      </c>
      <c r="K185" s="51">
        <f>Source!P154</f>
        <v>776.7</v>
      </c>
      <c r="L185" s="52"/>
    </row>
    <row r="186" spans="1:12" s="9" customFormat="1" ht="11.25">
      <c r="A186" s="45"/>
      <c r="B186" s="46"/>
      <c r="C186" s="46" t="s">
        <v>759</v>
      </c>
      <c r="D186" s="47" t="s">
        <v>760</v>
      </c>
      <c r="E186" s="48">
        <f>Source!BZ154</f>
        <v>155</v>
      </c>
      <c r="F186" s="53"/>
      <c r="G186" s="50"/>
      <c r="H186" s="51">
        <f>SUM(S181:S191)</f>
        <v>253.7</v>
      </c>
      <c r="I186" s="50" t="str">
        <f>CONCATENATE(Source!FX154,Source!FV154,"=")</f>
        <v>155*0,85=</v>
      </c>
      <c r="J186" s="13">
        <f>Source!AT154</f>
        <v>132</v>
      </c>
      <c r="K186" s="51">
        <f>SUM(T181:T191)</f>
        <v>4314.2</v>
      </c>
      <c r="L186" s="52"/>
    </row>
    <row r="187" spans="1:12" s="9" customFormat="1" ht="11.25">
      <c r="A187" s="45"/>
      <c r="B187" s="46"/>
      <c r="C187" s="46" t="s">
        <v>761</v>
      </c>
      <c r="D187" s="47" t="s">
        <v>760</v>
      </c>
      <c r="E187" s="48">
        <f>Source!CA154</f>
        <v>100</v>
      </c>
      <c r="F187" s="53"/>
      <c r="G187" s="50"/>
      <c r="H187" s="51">
        <f>SUM(U181:U191)</f>
        <v>163.7</v>
      </c>
      <c r="I187" s="50" t="str">
        <f>CONCATENATE(Source!FY154,Source!FW154,"=")</f>
        <v>100*0,8=</v>
      </c>
      <c r="J187" s="13">
        <f>Source!AU154</f>
        <v>80</v>
      </c>
      <c r="K187" s="51">
        <f>SUM(V181:V191)</f>
        <v>2614.6</v>
      </c>
      <c r="L187" s="52"/>
    </row>
    <row r="188" spans="1:12" s="9" customFormat="1" ht="11.25">
      <c r="A188" s="45"/>
      <c r="B188" s="46"/>
      <c r="C188" s="46" t="s">
        <v>762</v>
      </c>
      <c r="D188" s="47" t="s">
        <v>763</v>
      </c>
      <c r="E188" s="48">
        <f>Source!AQ154</f>
        <v>52.84</v>
      </c>
      <c r="F188" s="49"/>
      <c r="G188" s="50">
        <f>Source!DI154</f>
      </c>
      <c r="H188" s="51"/>
      <c r="I188" s="50"/>
      <c r="J188" s="50"/>
      <c r="K188" s="51"/>
      <c r="L188" s="65">
        <f>Source!U154</f>
        <v>11.6248</v>
      </c>
    </row>
    <row r="189" spans="1:26" s="9" customFormat="1" ht="78.75">
      <c r="A189" s="45" t="str">
        <f>Source!E155</f>
        <v>19,1</v>
      </c>
      <c r="B189" s="46" t="str">
        <f>Source!BJ155</f>
        <v>ФССЦ-2001, 04.1.02.05-0026, приказ Минстроя России №1039/пр от 30.12.2016г.</v>
      </c>
      <c r="C189" s="46" t="str">
        <f>Source!G155</f>
        <v>Бетон тяжелый, крупность заполнителя 10 мм, класс В15 (М200)</v>
      </c>
      <c r="D189" s="47" t="str">
        <f>Source!H155</f>
        <v>м3</v>
      </c>
      <c r="E189" s="48">
        <f>Source!I155</f>
        <v>0.0902</v>
      </c>
      <c r="F189" s="49">
        <f>Source!AL155+Source!AM155+Source!AO155</f>
        <v>665</v>
      </c>
      <c r="G189" s="66" t="s">
        <v>3</v>
      </c>
      <c r="H189" s="51">
        <f>ROUND(Source!AC155*Source!I155,1)+ROUND(Source!AD155*Source!I155,1)+ROUND(Source!AF155*Source!I155,1)</f>
        <v>60</v>
      </c>
      <c r="I189" s="50"/>
      <c r="J189" s="50">
        <f>IF(Source!BC155&lt;&gt;0,Source!BC155,1)</f>
        <v>5.66</v>
      </c>
      <c r="K189" s="51">
        <f>Source!O155</f>
        <v>339.5</v>
      </c>
      <c r="L189" s="52"/>
      <c r="S189" s="9">
        <f>ROUND((Source!FX155/100)*((ROUND(Source!AF155*Source!I155,1)+ROUND(Source!AE155*Source!I155,1))),1)</f>
        <v>0</v>
      </c>
      <c r="T189" s="9">
        <f>Source!X155</f>
        <v>0</v>
      </c>
      <c r="U189" s="9">
        <f>ROUND((Source!FY155/100)*((ROUND(Source!AF155*Source!I155,1)+ROUND(Source!AE155*Source!I155,1))),1)</f>
        <v>0</v>
      </c>
      <c r="V189" s="9">
        <f>Source!Y155</f>
        <v>0</v>
      </c>
      <c r="W189" s="9">
        <f>IF(Source!BI155&lt;=1,H189,0)</f>
        <v>60</v>
      </c>
      <c r="X189" s="9">
        <f>IF(Source!BI155=2,H189,0)</f>
        <v>0</v>
      </c>
      <c r="Y189" s="9">
        <f>IF(Source!BI155=3,H189,0)</f>
        <v>0</v>
      </c>
      <c r="Z189" s="9">
        <f>IF(Source!BI155=4,H189,0)</f>
        <v>0</v>
      </c>
    </row>
    <row r="190" spans="1:26" s="9" customFormat="1" ht="22.5">
      <c r="A190" s="45" t="str">
        <f>Source!E156</f>
        <v>19,2</v>
      </c>
      <c r="B190" s="46">
        <f>Source!BJ156</f>
      </c>
      <c r="C190" s="46" t="str">
        <f>Source!G156</f>
        <v>Стоимость  ФБС 12 -3-6т  Прив цена= 1705,1/1,18/5,66*1,02=</v>
      </c>
      <c r="D190" s="47" t="str">
        <f>Source!H156</f>
        <v>1  шт.</v>
      </c>
      <c r="E190" s="48">
        <f>Source!I156</f>
        <v>11</v>
      </c>
      <c r="F190" s="49">
        <f>Source!AL156+Source!AM156+Source!AO156</f>
        <v>0</v>
      </c>
      <c r="G190" s="66" t="s">
        <v>205</v>
      </c>
      <c r="H190" s="51">
        <f>ROUND(Source!AC156*Source!I156,1)+ROUND(Source!AD156*Source!I156,1)+ROUND(Source!AF156*Source!I156,1)</f>
        <v>2864.5</v>
      </c>
      <c r="I190" s="50"/>
      <c r="J190" s="50">
        <f>IF(Source!BC156&lt;&gt;0,Source!BC156,1)</f>
        <v>5.66</v>
      </c>
      <c r="K190" s="51">
        <f>Source!O156</f>
        <v>16212.9</v>
      </c>
      <c r="L190" s="52"/>
      <c r="S190" s="9">
        <f>ROUND((Source!FX156/100)*((ROUND(Source!AF156*Source!I156,1)+ROUND(Source!AE156*Source!I156,1))),1)</f>
        <v>0</v>
      </c>
      <c r="T190" s="9">
        <f>Source!X156</f>
        <v>0</v>
      </c>
      <c r="U190" s="9">
        <f>ROUND((Source!FY156/100)*((ROUND(Source!AF156*Source!I156,1)+ROUND(Source!AE156*Source!I156,1))),1)</f>
        <v>0</v>
      </c>
      <c r="V190" s="9">
        <f>Source!Y156</f>
        <v>0</v>
      </c>
      <c r="W190" s="9">
        <f>IF(Source!BI156&lt;=1,H190,0)</f>
        <v>2864.5</v>
      </c>
      <c r="X190" s="9">
        <f>IF(Source!BI156=2,H190,0)</f>
        <v>0</v>
      </c>
      <c r="Y190" s="9">
        <f>IF(Source!BI156=3,H190,0)</f>
        <v>0</v>
      </c>
      <c r="Z190" s="9">
        <f>IF(Source!BI156=4,H190,0)</f>
        <v>0</v>
      </c>
    </row>
    <row r="191" spans="1:26" s="9" customFormat="1" ht="33.75">
      <c r="A191" s="54" t="str">
        <f>Source!E157</f>
        <v>19,3</v>
      </c>
      <c r="B191" s="22">
        <f>Source!BJ157</f>
      </c>
      <c r="C191" s="22" t="str">
        <f>Source!G157</f>
        <v>Стоимость  ФБС 9 -3-6т  Прив цена= 1320,42/1,18/5,66*1,02=</v>
      </c>
      <c r="D191" s="23" t="str">
        <f>Source!H157</f>
        <v>1  шт.</v>
      </c>
      <c r="E191" s="24">
        <f>Source!I157</f>
        <v>11</v>
      </c>
      <c r="F191" s="25">
        <f>Source!AL157+Source!AM157+Source!AO157</f>
        <v>0</v>
      </c>
      <c r="G191" s="32" t="s">
        <v>208</v>
      </c>
      <c r="H191" s="27">
        <f>ROUND(Source!AC157*Source!I157,1)+ROUND(Source!AD157*Source!I157,1)+ROUND(Source!AF157*Source!I157,1)</f>
        <v>2218.2</v>
      </c>
      <c r="I191" s="26"/>
      <c r="J191" s="26">
        <f>IF(Source!BC157&lt;&gt;0,Source!BC157,1)</f>
        <v>5.66</v>
      </c>
      <c r="K191" s="27">
        <f>Source!O157</f>
        <v>12555.2</v>
      </c>
      <c r="L191" s="57"/>
      <c r="S191" s="9">
        <f>ROUND((Source!FX157/100)*((ROUND(Source!AF157*Source!I157,1)+ROUND(Source!AE157*Source!I157,1))),1)</f>
        <v>0</v>
      </c>
      <c r="T191" s="9">
        <f>Source!X157</f>
        <v>0</v>
      </c>
      <c r="U191" s="9">
        <f>ROUND((Source!FY157/100)*((ROUND(Source!AF157*Source!I157,1)+ROUND(Source!AE157*Source!I157,1))),1)</f>
        <v>0</v>
      </c>
      <c r="V191" s="9">
        <f>Source!Y157</f>
        <v>0</v>
      </c>
      <c r="W191" s="9">
        <f>IF(Source!BI157&lt;=1,H191,0)</f>
        <v>2218.2</v>
      </c>
      <c r="X191" s="9">
        <f>IF(Source!BI157=2,H191,0)</f>
        <v>0</v>
      </c>
      <c r="Y191" s="9">
        <f>IF(Source!BI157=3,H191,0)</f>
        <v>0</v>
      </c>
      <c r="Z191" s="9">
        <f>IF(Source!BI157=4,H191,0)</f>
        <v>0</v>
      </c>
    </row>
    <row r="192" spans="1:26" s="9" customFormat="1" ht="11.25">
      <c r="A192" s="43"/>
      <c r="B192" s="14"/>
      <c r="C192" s="14"/>
      <c r="D192" s="14"/>
      <c r="E192" s="14"/>
      <c r="F192" s="14"/>
      <c r="G192" s="87">
        <f>H182+H183+H185+H186+H187+SUM(H189:H191)</f>
        <v>6238.4</v>
      </c>
      <c r="H192" s="87"/>
      <c r="I192" s="14"/>
      <c r="J192" s="87">
        <f>K182+K183+K185+K186+K187+SUM(K189:K191)</f>
        <v>41965.9</v>
      </c>
      <c r="K192" s="87"/>
      <c r="L192" s="56">
        <f>Source!U154</f>
        <v>11.6248</v>
      </c>
      <c r="O192" s="28">
        <f>G192</f>
        <v>6238.4</v>
      </c>
      <c r="P192" s="28">
        <f>J192</f>
        <v>41965.9</v>
      </c>
      <c r="Q192" s="10">
        <f>L192</f>
        <v>11.6248</v>
      </c>
      <c r="W192" s="9">
        <f>IF(Source!BI154&lt;=1,H182+H183+H185+H186+H187,0)</f>
        <v>1095.7</v>
      </c>
      <c r="X192" s="9">
        <f>IF(Source!BI154=2,H182+H183+H185+H186+H187,0)</f>
        <v>0</v>
      </c>
      <c r="Y192" s="9">
        <f>IF(Source!BI154=3,H182+H183+H185+H186+H187,0)</f>
        <v>0</v>
      </c>
      <c r="Z192" s="9">
        <f>IF(Source!BI154=4,H182+H183+H185+H186+H187,0)</f>
        <v>0</v>
      </c>
    </row>
    <row r="193" spans="1:22" s="9" customFormat="1" ht="78.75">
      <c r="A193" s="45" t="str">
        <f>Source!E158</f>
        <v>20</v>
      </c>
      <c r="B193" s="46" t="str">
        <f>Source!BJ158</f>
        <v>ФЕР-2001, 07-05-001-02, приказ Минстроя России №1039/пр от 30.12.2016г.</v>
      </c>
      <c r="C193" s="46" t="str">
        <f>Source!G158</f>
        <v>Установка блоков стен подвалов массой до 1 т</v>
      </c>
      <c r="D193" s="47" t="str">
        <f>Source!H158</f>
        <v>100 ШТ</v>
      </c>
      <c r="E193" s="48">
        <f>Source!I158</f>
        <v>0.24</v>
      </c>
      <c r="F193" s="49">
        <f>Source!AL158+Source!AM158+Source!AO158</f>
        <v>4306.39</v>
      </c>
      <c r="G193" s="50"/>
      <c r="H193" s="51"/>
      <c r="I193" s="50" t="str">
        <f>Source!BO158</f>
        <v>РСЦ с 1.09.2017г.</v>
      </c>
      <c r="J193" s="50"/>
      <c r="K193" s="51"/>
      <c r="L193" s="52"/>
      <c r="S193" s="9">
        <f>ROUND((Source!FX158/100)*((ROUND(Source!AF158*Source!I158,1)+ROUND(Source!AE158*Source!I158,1))),1)</f>
        <v>388.4</v>
      </c>
      <c r="T193" s="9">
        <f>Source!X158</f>
        <v>6604.4</v>
      </c>
      <c r="U193" s="9">
        <f>ROUND((Source!FY158/100)*((ROUND(Source!AF158*Source!I158,1)+ROUND(Source!AE158*Source!I158,1))),1)</f>
        <v>250.6</v>
      </c>
      <c r="V193" s="9">
        <f>Source!Y158</f>
        <v>4002.6</v>
      </c>
    </row>
    <row r="194" spans="1:18" s="9" customFormat="1" ht="11.25">
      <c r="A194" s="45"/>
      <c r="B194" s="46"/>
      <c r="C194" s="46" t="s">
        <v>758</v>
      </c>
      <c r="D194" s="47"/>
      <c r="E194" s="48"/>
      <c r="F194" s="49">
        <f>Source!AO158</f>
        <v>648.07</v>
      </c>
      <c r="G194" s="50">
        <f>Source!DG158</f>
      </c>
      <c r="H194" s="51">
        <f>ROUND(Source!AF158*Source!I158,1)</f>
        <v>155.5</v>
      </c>
      <c r="I194" s="50"/>
      <c r="J194" s="50">
        <f>IF(Source!BA158&lt;&gt;0,Source!BA158,1)</f>
        <v>19.96</v>
      </c>
      <c r="K194" s="51">
        <f>Source!S158</f>
        <v>3104.5</v>
      </c>
      <c r="L194" s="52"/>
      <c r="R194" s="9">
        <f>H194</f>
        <v>155.5</v>
      </c>
    </row>
    <row r="195" spans="1:12" s="9" customFormat="1" ht="11.25">
      <c r="A195" s="45"/>
      <c r="B195" s="46"/>
      <c r="C195" s="46" t="s">
        <v>71</v>
      </c>
      <c r="D195" s="47"/>
      <c r="E195" s="48"/>
      <c r="F195" s="49">
        <f>Source!AM158</f>
        <v>2800.65</v>
      </c>
      <c r="G195" s="50">
        <f>Source!DE158</f>
      </c>
      <c r="H195" s="51">
        <f>ROUND(Source!AD158*Source!I158,1)</f>
        <v>672.2</v>
      </c>
      <c r="I195" s="50"/>
      <c r="J195" s="50">
        <f>IF(Source!BB158&lt;&gt;0,Source!BB158,1)</f>
        <v>7.11</v>
      </c>
      <c r="K195" s="51">
        <f>Source!Q158</f>
        <v>4779</v>
      </c>
      <c r="L195" s="52"/>
    </row>
    <row r="196" spans="1:18" s="9" customFormat="1" ht="11.25">
      <c r="A196" s="45"/>
      <c r="B196" s="46"/>
      <c r="C196" s="46" t="s">
        <v>764</v>
      </c>
      <c r="D196" s="47"/>
      <c r="E196" s="48"/>
      <c r="F196" s="49">
        <f>Source!AN158</f>
        <v>396.37</v>
      </c>
      <c r="G196" s="50">
        <f>Source!DF158</f>
      </c>
      <c r="H196" s="59">
        <f>ROUND(Source!AE158*Source!I158,1)</f>
        <v>95.1</v>
      </c>
      <c r="I196" s="50"/>
      <c r="J196" s="50">
        <f>IF(Source!BS158&lt;&gt;0,Source!BS158,1)</f>
        <v>19.96</v>
      </c>
      <c r="K196" s="59">
        <f>Source!R158</f>
        <v>1898.8</v>
      </c>
      <c r="L196" s="52"/>
      <c r="R196" s="9">
        <f>H196</f>
        <v>95.1</v>
      </c>
    </row>
    <row r="197" spans="1:12" s="9" customFormat="1" ht="11.25">
      <c r="A197" s="45"/>
      <c r="B197" s="46"/>
      <c r="C197" s="46" t="s">
        <v>765</v>
      </c>
      <c r="D197" s="47"/>
      <c r="E197" s="48"/>
      <c r="F197" s="49">
        <f>Source!AL158</f>
        <v>857.67</v>
      </c>
      <c r="G197" s="50">
        <f>Source!DD158</f>
      </c>
      <c r="H197" s="51">
        <f>ROUND(Source!AC158*Source!I158,1)</f>
        <v>205.8</v>
      </c>
      <c r="I197" s="50"/>
      <c r="J197" s="50">
        <f>IF(Source!BC158&lt;&gt;0,Source!BC158,1)</f>
        <v>5.66</v>
      </c>
      <c r="K197" s="51">
        <f>Source!P158</f>
        <v>1165.1</v>
      </c>
      <c r="L197" s="52"/>
    </row>
    <row r="198" spans="1:12" s="9" customFormat="1" ht="11.25">
      <c r="A198" s="45"/>
      <c r="B198" s="46"/>
      <c r="C198" s="46" t="s">
        <v>759</v>
      </c>
      <c r="D198" s="47" t="s">
        <v>760</v>
      </c>
      <c r="E198" s="48">
        <f>Source!BZ158</f>
        <v>155</v>
      </c>
      <c r="F198" s="53"/>
      <c r="G198" s="50"/>
      <c r="H198" s="51">
        <f>SUM(S193:S202)</f>
        <v>388.4</v>
      </c>
      <c r="I198" s="50" t="str">
        <f>CONCATENATE(Source!FX158,Source!FV158,"=")</f>
        <v>155*0,85=</v>
      </c>
      <c r="J198" s="13">
        <f>Source!AT158</f>
        <v>132</v>
      </c>
      <c r="K198" s="51">
        <f>SUM(T193:T202)</f>
        <v>6604.4</v>
      </c>
      <c r="L198" s="52"/>
    </row>
    <row r="199" spans="1:12" s="9" customFormat="1" ht="11.25">
      <c r="A199" s="45"/>
      <c r="B199" s="46"/>
      <c r="C199" s="46" t="s">
        <v>761</v>
      </c>
      <c r="D199" s="47" t="s">
        <v>760</v>
      </c>
      <c r="E199" s="48">
        <f>Source!CA158</f>
        <v>100</v>
      </c>
      <c r="F199" s="53"/>
      <c r="G199" s="50"/>
      <c r="H199" s="51">
        <f>SUM(U193:U202)</f>
        <v>250.6</v>
      </c>
      <c r="I199" s="50" t="str">
        <f>CONCATENATE(Source!FY158,Source!FW158,"=")</f>
        <v>100*0,8=</v>
      </c>
      <c r="J199" s="13">
        <f>Source!AU158</f>
        <v>80</v>
      </c>
      <c r="K199" s="51">
        <f>SUM(V193:V202)</f>
        <v>4002.6</v>
      </c>
      <c r="L199" s="52"/>
    </row>
    <row r="200" spans="1:12" s="9" customFormat="1" ht="11.25">
      <c r="A200" s="45"/>
      <c r="B200" s="46"/>
      <c r="C200" s="46" t="s">
        <v>762</v>
      </c>
      <c r="D200" s="47" t="s">
        <v>763</v>
      </c>
      <c r="E200" s="48">
        <f>Source!AQ158</f>
        <v>74.15</v>
      </c>
      <c r="F200" s="49"/>
      <c r="G200" s="50">
        <f>Source!DI158</f>
      </c>
      <c r="H200" s="51"/>
      <c r="I200" s="50"/>
      <c r="J200" s="50"/>
      <c r="K200" s="51"/>
      <c r="L200" s="65">
        <f>Source!U158</f>
        <v>17.796</v>
      </c>
    </row>
    <row r="201" spans="1:26" s="9" customFormat="1" ht="78.75">
      <c r="A201" s="45" t="str">
        <f>Source!E159</f>
        <v>20,1</v>
      </c>
      <c r="B201" s="46" t="str">
        <f>Source!BJ159</f>
        <v>ФССЦ-2001, 04.1.02.05-0026, приказ Минстроя России №1039/пр от 30.12.2016г.</v>
      </c>
      <c r="C201" s="46" t="str">
        <f>Source!G159</f>
        <v>Бетон тяжелый, крупность заполнителя 10 мм, класс В15 (М200)</v>
      </c>
      <c r="D201" s="47" t="str">
        <f>Source!H159</f>
        <v>м3</v>
      </c>
      <c r="E201" s="48">
        <f>Source!I159</f>
        <v>0.1704</v>
      </c>
      <c r="F201" s="49">
        <f>Source!AL159+Source!AM159+Source!AO159</f>
        <v>665</v>
      </c>
      <c r="G201" s="66" t="s">
        <v>3</v>
      </c>
      <c r="H201" s="51">
        <f>ROUND(Source!AC159*Source!I159,1)+ROUND(Source!AD159*Source!I159,1)+ROUND(Source!AF159*Source!I159,1)</f>
        <v>113.3</v>
      </c>
      <c r="I201" s="50"/>
      <c r="J201" s="50">
        <f>IF(Source!BC159&lt;&gt;0,Source!BC159,1)</f>
        <v>5.66</v>
      </c>
      <c r="K201" s="51">
        <f>Source!O159</f>
        <v>641.4</v>
      </c>
      <c r="L201" s="52"/>
      <c r="S201" s="9">
        <f>ROUND((Source!FX159/100)*((ROUND(Source!AF159*Source!I159,1)+ROUND(Source!AE159*Source!I159,1))),1)</f>
        <v>0</v>
      </c>
      <c r="T201" s="9">
        <f>Source!X159</f>
        <v>0</v>
      </c>
      <c r="U201" s="9">
        <f>ROUND((Source!FY159/100)*((ROUND(Source!AF159*Source!I159,1)+ROUND(Source!AE159*Source!I159,1))),1)</f>
        <v>0</v>
      </c>
      <c r="V201" s="9">
        <f>Source!Y159</f>
        <v>0</v>
      </c>
      <c r="W201" s="9">
        <f>IF(Source!BI159&lt;=1,H201,0)</f>
        <v>113.3</v>
      </c>
      <c r="X201" s="9">
        <f>IF(Source!BI159=2,H201,0)</f>
        <v>0</v>
      </c>
      <c r="Y201" s="9">
        <f>IF(Source!BI159=3,H201,0)</f>
        <v>0</v>
      </c>
      <c r="Z201" s="9">
        <f>IF(Source!BI159=4,H201,0)</f>
        <v>0</v>
      </c>
    </row>
    <row r="202" spans="1:26" s="9" customFormat="1" ht="22.5">
      <c r="A202" s="54" t="str">
        <f>Source!E160</f>
        <v>20,2</v>
      </c>
      <c r="B202" s="22" t="s">
        <v>774</v>
      </c>
      <c r="C202" s="22" t="str">
        <f>Source!G160</f>
        <v>Стоимость  ФБС 24 -3-6т  Прив цена= 2310,44/1,18/5,66*1,02=</v>
      </c>
      <c r="D202" s="23" t="str">
        <f>Source!H160</f>
        <v>1  шт.</v>
      </c>
      <c r="E202" s="24">
        <f>Source!I160</f>
        <v>24</v>
      </c>
      <c r="F202" s="25">
        <f>Source!AL160+Source!AM160+Source!AO160</f>
        <v>0</v>
      </c>
      <c r="G202" s="32" t="s">
        <v>216</v>
      </c>
      <c r="H202" s="27">
        <f>ROUND(Source!AC160*Source!I160,1)+ROUND(Source!AD160*Source!I160,1)+ROUND(Source!AF160*Source!I160,1)</f>
        <v>8468.5</v>
      </c>
      <c r="I202" s="26"/>
      <c r="J202" s="26">
        <f>IF(Source!BC160&lt;&gt;0,Source!BC160,1)</f>
        <v>5.66</v>
      </c>
      <c r="K202" s="27">
        <f>Source!O160</f>
        <v>47931.8</v>
      </c>
      <c r="L202" s="57"/>
      <c r="S202" s="9">
        <f>ROUND((Source!FX160/100)*((ROUND(Source!AF160*Source!I160,1)+ROUND(Source!AE160*Source!I160,1))),1)</f>
        <v>0</v>
      </c>
      <c r="T202" s="9">
        <f>Source!X160</f>
        <v>0</v>
      </c>
      <c r="U202" s="9">
        <f>ROUND((Source!FY160/100)*((ROUND(Source!AF160*Source!I160,1)+ROUND(Source!AE160*Source!I160,1))),1)</f>
        <v>0</v>
      </c>
      <c r="V202" s="9">
        <f>Source!Y160</f>
        <v>0</v>
      </c>
      <c r="W202" s="9">
        <f>IF(Source!BI160&lt;=1,H202,0)</f>
        <v>8468.5</v>
      </c>
      <c r="X202" s="9">
        <f>IF(Source!BI160=2,H202,0)</f>
        <v>0</v>
      </c>
      <c r="Y202" s="9">
        <f>IF(Source!BI160=3,H202,0)</f>
        <v>0</v>
      </c>
      <c r="Z202" s="9">
        <f>IF(Source!BI160=4,H202,0)</f>
        <v>0</v>
      </c>
    </row>
    <row r="203" spans="1:26" s="9" customFormat="1" ht="11.25">
      <c r="A203" s="43"/>
      <c r="B203" s="14"/>
      <c r="C203" s="14"/>
      <c r="D203" s="14"/>
      <c r="E203" s="14"/>
      <c r="F203" s="14"/>
      <c r="G203" s="87">
        <f>H194+H195+H197+H198+H199+SUM(H201:H202)</f>
        <v>10254.3</v>
      </c>
      <c r="H203" s="87"/>
      <c r="I203" s="14"/>
      <c r="J203" s="87">
        <f>K194+K195+K197+K198+K199+SUM(K201:K202)</f>
        <v>68228.8</v>
      </c>
      <c r="K203" s="87"/>
      <c r="L203" s="56">
        <f>Source!U158</f>
        <v>17.796</v>
      </c>
      <c r="O203" s="28">
        <f>G203</f>
        <v>10254.3</v>
      </c>
      <c r="P203" s="28">
        <f>J203</f>
        <v>68228.8</v>
      </c>
      <c r="Q203" s="10">
        <f>L203</f>
        <v>17.796</v>
      </c>
      <c r="W203" s="9">
        <f>IF(Source!BI158&lt;=1,H194+H195+H197+H198+H199,0)</f>
        <v>1672.5</v>
      </c>
      <c r="X203" s="9">
        <f>IF(Source!BI158=2,H194+H195+H197+H198+H199,0)</f>
        <v>0</v>
      </c>
      <c r="Y203" s="9">
        <f>IF(Source!BI158=3,H194+H195+H197+H198+H199,0)</f>
        <v>0</v>
      </c>
      <c r="Z203" s="9">
        <f>IF(Source!BI158=4,H194+H195+H197+H198+H199,0)</f>
        <v>0</v>
      </c>
    </row>
    <row r="204" spans="1:22" s="9" customFormat="1" ht="78.75">
      <c r="A204" s="45" t="str">
        <f>Source!E161</f>
        <v>21</v>
      </c>
      <c r="B204" s="46" t="str">
        <f>Source!BJ161</f>
        <v>ФЕР-2001, 46-03-017-03, приказ Минстроя России №1039/пр от 30.12.2016г.</v>
      </c>
      <c r="C204" s="46" t="str">
        <f>Source!G161</f>
        <v>Заделка отверстий, гнезд и борозд в стенах и перегородках железобетонных площадью до 0,1 м2</v>
      </c>
      <c r="D204" s="47" t="str">
        <f>Source!H161</f>
        <v>м3</v>
      </c>
      <c r="E204" s="48">
        <f>Source!I161</f>
        <v>0.02</v>
      </c>
      <c r="F204" s="49">
        <f>Source!AL161+Source!AM161+Source!AO161</f>
        <v>1239.98</v>
      </c>
      <c r="G204" s="50"/>
      <c r="H204" s="51"/>
      <c r="I204" s="50" t="str">
        <f>Source!BO161</f>
        <v>РСЦ с 1.09.2017г.</v>
      </c>
      <c r="J204" s="50"/>
      <c r="K204" s="51"/>
      <c r="L204" s="52"/>
      <c r="S204" s="9">
        <f>ROUND((Source!FX161/100)*((ROUND(Source!AF161*Source!I161,1)+ROUND(Source!AE161*Source!I161,1))),1)</f>
        <v>13.5</v>
      </c>
      <c r="T204" s="9">
        <f>Source!X161</f>
        <v>231.3</v>
      </c>
      <c r="U204" s="9">
        <f>ROUND((Source!FY161/100)*((ROUND(Source!AF161*Source!I161,1)+ROUND(Source!AE161*Source!I161,1))),1)</f>
        <v>8.6</v>
      </c>
      <c r="V204" s="9">
        <f>Source!Y161</f>
        <v>137.8</v>
      </c>
    </row>
    <row r="205" spans="1:18" s="9" customFormat="1" ht="11.25">
      <c r="A205" s="45"/>
      <c r="B205" s="46"/>
      <c r="C205" s="46" t="s">
        <v>758</v>
      </c>
      <c r="D205" s="47"/>
      <c r="E205" s="48"/>
      <c r="F205" s="49">
        <f>Source!AO161</f>
        <v>611.44</v>
      </c>
      <c r="G205" s="50">
        <f>Source!DG161</f>
      </c>
      <c r="H205" s="51">
        <f>ROUND(Source!AF161*Source!I161,1)</f>
        <v>12.2</v>
      </c>
      <c r="I205" s="50"/>
      <c r="J205" s="50">
        <f>IF(Source!BA161&lt;&gt;0,Source!BA161,1)</f>
        <v>19.96</v>
      </c>
      <c r="K205" s="51">
        <f>Source!S161</f>
        <v>244.1</v>
      </c>
      <c r="L205" s="52"/>
      <c r="R205" s="9">
        <f>H205</f>
        <v>12.2</v>
      </c>
    </row>
    <row r="206" spans="1:12" s="9" customFormat="1" ht="11.25">
      <c r="A206" s="45"/>
      <c r="B206" s="46"/>
      <c r="C206" s="46" t="s">
        <v>71</v>
      </c>
      <c r="D206" s="47"/>
      <c r="E206" s="48"/>
      <c r="F206" s="49">
        <f>Source!AM161</f>
        <v>28.65</v>
      </c>
      <c r="G206" s="50">
        <f>Source!DE161</f>
      </c>
      <c r="H206" s="51">
        <f>ROUND(Source!AD161*Source!I161,1)</f>
        <v>0.6</v>
      </c>
      <c r="I206" s="50"/>
      <c r="J206" s="50">
        <f>IF(Source!BB161&lt;&gt;0,Source!BB161,1)</f>
        <v>7.11</v>
      </c>
      <c r="K206" s="51">
        <f>Source!Q161</f>
        <v>4.1</v>
      </c>
      <c r="L206" s="52"/>
    </row>
    <row r="207" spans="1:18" s="9" customFormat="1" ht="11.25">
      <c r="A207" s="45"/>
      <c r="B207" s="46"/>
      <c r="C207" s="46" t="s">
        <v>764</v>
      </c>
      <c r="D207" s="47"/>
      <c r="E207" s="48"/>
      <c r="F207" s="49">
        <f>Source!AN161</f>
        <v>4.99</v>
      </c>
      <c r="G207" s="50">
        <f>Source!DF161</f>
      </c>
      <c r="H207" s="59">
        <f>ROUND(Source!AE161*Source!I161,1)</f>
        <v>0.1</v>
      </c>
      <c r="I207" s="50"/>
      <c r="J207" s="50">
        <f>IF(Source!BS161&lt;&gt;0,Source!BS161,1)</f>
        <v>19.96</v>
      </c>
      <c r="K207" s="59">
        <f>Source!R161</f>
        <v>2</v>
      </c>
      <c r="L207" s="52"/>
      <c r="R207" s="9">
        <f>H207</f>
        <v>0.1</v>
      </c>
    </row>
    <row r="208" spans="1:12" s="9" customFormat="1" ht="11.25">
      <c r="A208" s="45"/>
      <c r="B208" s="46"/>
      <c r="C208" s="46" t="s">
        <v>765</v>
      </c>
      <c r="D208" s="47"/>
      <c r="E208" s="48"/>
      <c r="F208" s="49">
        <f>Source!AL161</f>
        <v>599.89</v>
      </c>
      <c r="G208" s="50">
        <f>Source!DD161</f>
      </c>
      <c r="H208" s="51">
        <f>ROUND(Source!AC161*Source!I161,1)</f>
        <v>12</v>
      </c>
      <c r="I208" s="50"/>
      <c r="J208" s="50">
        <f>IF(Source!BC161&lt;&gt;0,Source!BC161,1)</f>
        <v>5.66</v>
      </c>
      <c r="K208" s="51">
        <f>Source!P161</f>
        <v>67.9</v>
      </c>
      <c r="L208" s="52"/>
    </row>
    <row r="209" spans="1:12" s="9" customFormat="1" ht="11.25">
      <c r="A209" s="45"/>
      <c r="B209" s="46"/>
      <c r="C209" s="46" t="s">
        <v>759</v>
      </c>
      <c r="D209" s="47" t="s">
        <v>760</v>
      </c>
      <c r="E209" s="48">
        <f>Source!BZ161</f>
        <v>110</v>
      </c>
      <c r="F209" s="53"/>
      <c r="G209" s="50"/>
      <c r="H209" s="51">
        <f>SUM(S204:S212)</f>
        <v>13.5</v>
      </c>
      <c r="I209" s="50" t="str">
        <f>CONCATENATE(Source!FX161,Source!FV161,"=")</f>
        <v>110*0,85=</v>
      </c>
      <c r="J209" s="13">
        <f>Source!AT161</f>
        <v>94</v>
      </c>
      <c r="K209" s="51">
        <f>SUM(T204:T212)</f>
        <v>231.3</v>
      </c>
      <c r="L209" s="52"/>
    </row>
    <row r="210" spans="1:12" s="9" customFormat="1" ht="11.25">
      <c r="A210" s="45"/>
      <c r="B210" s="46"/>
      <c r="C210" s="46" t="s">
        <v>761</v>
      </c>
      <c r="D210" s="47" t="s">
        <v>760</v>
      </c>
      <c r="E210" s="48">
        <f>Source!CA161</f>
        <v>70</v>
      </c>
      <c r="F210" s="53"/>
      <c r="G210" s="50"/>
      <c r="H210" s="51">
        <f>SUM(U204:U212)</f>
        <v>8.6</v>
      </c>
      <c r="I210" s="50" t="str">
        <f>CONCATENATE(Source!FY161,Source!FW161,"=")</f>
        <v>70*0,8=</v>
      </c>
      <c r="J210" s="13">
        <f>Source!AU161</f>
        <v>56</v>
      </c>
      <c r="K210" s="51">
        <f>SUM(V204:V212)</f>
        <v>137.8</v>
      </c>
      <c r="L210" s="52"/>
    </row>
    <row r="211" spans="1:12" s="9" customFormat="1" ht="11.25">
      <c r="A211" s="45"/>
      <c r="B211" s="46"/>
      <c r="C211" s="46" t="s">
        <v>762</v>
      </c>
      <c r="D211" s="47" t="s">
        <v>763</v>
      </c>
      <c r="E211" s="48">
        <f>Source!AQ161</f>
        <v>75.58</v>
      </c>
      <c r="F211" s="49"/>
      <c r="G211" s="50">
        <f>Source!DI161</f>
      </c>
      <c r="H211" s="51"/>
      <c r="I211" s="50"/>
      <c r="J211" s="50"/>
      <c r="K211" s="51"/>
      <c r="L211" s="65">
        <f>Source!U161</f>
        <v>1.5116</v>
      </c>
    </row>
    <row r="212" spans="1:26" s="9" customFormat="1" ht="78.75">
      <c r="A212" s="54" t="str">
        <f>Source!E162</f>
        <v>21,1</v>
      </c>
      <c r="B212" s="22" t="str">
        <f>Source!BJ162</f>
        <v>ФССЦ-2001, 04.1.02.05-0026, приказ Минстроя России №1039/пр от 30.12.2016г.</v>
      </c>
      <c r="C212" s="22" t="str">
        <f>Source!G162</f>
        <v>Бетон тяжелый, крупность заполнителя 10 мм, класс В15 (М200)</v>
      </c>
      <c r="D212" s="23" t="str">
        <f>Source!H162</f>
        <v>м3</v>
      </c>
      <c r="E212" s="24">
        <f>Source!I162</f>
        <v>0.020800000000000003</v>
      </c>
      <c r="F212" s="25">
        <f>Source!AL162+Source!AM162+Source!AO162</f>
        <v>665</v>
      </c>
      <c r="G212" s="32" t="s">
        <v>3</v>
      </c>
      <c r="H212" s="27">
        <f>ROUND(Source!AC162*Source!I162,1)+ROUND(Source!AD162*Source!I162,1)+ROUND(Source!AF162*Source!I162,1)</f>
        <v>13.8</v>
      </c>
      <c r="I212" s="26"/>
      <c r="J212" s="26">
        <f>IF(Source!BC162&lt;&gt;0,Source!BC162,1)</f>
        <v>5.66</v>
      </c>
      <c r="K212" s="27">
        <f>Source!O162</f>
        <v>78.3</v>
      </c>
      <c r="L212" s="57"/>
      <c r="S212" s="9">
        <f>ROUND((Source!FX162/100)*((ROUND(Source!AF162*Source!I162,1)+ROUND(Source!AE162*Source!I162,1))),1)</f>
        <v>0</v>
      </c>
      <c r="T212" s="9">
        <f>Source!X162</f>
        <v>0</v>
      </c>
      <c r="U212" s="9">
        <f>ROUND((Source!FY162/100)*((ROUND(Source!AF162*Source!I162,1)+ROUND(Source!AE162*Source!I162,1))),1)</f>
        <v>0</v>
      </c>
      <c r="V212" s="9">
        <f>Source!Y162</f>
        <v>0</v>
      </c>
      <c r="W212" s="9">
        <f>IF(Source!BI162&lt;=1,H212,0)</f>
        <v>13.8</v>
      </c>
      <c r="X212" s="9">
        <f>IF(Source!BI162=2,H212,0)</f>
        <v>0</v>
      </c>
      <c r="Y212" s="9">
        <f>IF(Source!BI162=3,H212,0)</f>
        <v>0</v>
      </c>
      <c r="Z212" s="9">
        <f>IF(Source!BI162=4,H212,0)</f>
        <v>0</v>
      </c>
    </row>
    <row r="213" spans="1:26" s="9" customFormat="1" ht="11.25">
      <c r="A213" s="43"/>
      <c r="B213" s="14"/>
      <c r="C213" s="14"/>
      <c r="D213" s="14"/>
      <c r="E213" s="14"/>
      <c r="F213" s="14"/>
      <c r="G213" s="87">
        <f>H205+H206+H208+H209+H210+SUM(H212:H212)</f>
        <v>60.7</v>
      </c>
      <c r="H213" s="87"/>
      <c r="I213" s="14"/>
      <c r="J213" s="87">
        <f>K205+K206+K208+K209+K210+SUM(K212:K212)</f>
        <v>763.5</v>
      </c>
      <c r="K213" s="87"/>
      <c r="L213" s="56">
        <f>Source!U161</f>
        <v>1.5116</v>
      </c>
      <c r="O213" s="28">
        <f>G213</f>
        <v>60.7</v>
      </c>
      <c r="P213" s="28">
        <f>J213</f>
        <v>763.5</v>
      </c>
      <c r="Q213" s="10">
        <f>L213</f>
        <v>1.5116</v>
      </c>
      <c r="W213" s="9">
        <f>IF(Source!BI161&lt;=1,H205+H206+H208+H209+H210,0)</f>
        <v>46.9</v>
      </c>
      <c r="X213" s="9">
        <f>IF(Source!BI161=2,H205+H206+H208+H209+H210,0)</f>
        <v>0</v>
      </c>
      <c r="Y213" s="9">
        <f>IF(Source!BI161=3,H205+H206+H208+H209+H210,0)</f>
        <v>0</v>
      </c>
      <c r="Z213" s="9">
        <f>IF(Source!BI161=4,H205+H206+H208+H209+H210,0)</f>
        <v>0</v>
      </c>
    </row>
    <row r="214" spans="1:22" s="9" customFormat="1" ht="78.75">
      <c r="A214" s="45" t="str">
        <f>Source!E163</f>
        <v>22</v>
      </c>
      <c r="B214" s="46" t="str">
        <f>Source!BJ163</f>
        <v>ФЕР-2001, 29-01-253-01, приказ Минстроя России №1039/пр от 30.12.2016г.</v>
      </c>
      <c r="C214" s="46" t="str">
        <f>Source!G163</f>
        <v>Установка гильз из стальных труб диаметром 100 мм</v>
      </c>
      <c r="D214" s="47" t="str">
        <f>Source!H163</f>
        <v>10 ШТ</v>
      </c>
      <c r="E214" s="48">
        <f>Source!I163</f>
        <v>3.6</v>
      </c>
      <c r="F214" s="49">
        <f>Source!AL163+Source!AM163+Source!AO163</f>
        <v>82.38</v>
      </c>
      <c r="G214" s="50"/>
      <c r="H214" s="51"/>
      <c r="I214" s="50" t="str">
        <f>Source!BO163</f>
        <v>РСЦ с 1.09.2017г.</v>
      </c>
      <c r="J214" s="50"/>
      <c r="K214" s="51"/>
      <c r="L214" s="52"/>
      <c r="S214" s="9">
        <f>ROUND((Source!FX163/100)*((ROUND(Source!AF163*Source!I163,1)+ROUND(Source!AE163*Source!I163,1))),1)</f>
        <v>426.2</v>
      </c>
      <c r="T214" s="9">
        <f>Source!X163</f>
        <v>7214.7</v>
      </c>
      <c r="U214" s="9">
        <f>ROUND((Source!FY163/100)*((ROUND(Source!AF163*Source!I163,1)+ROUND(Source!AE163*Source!I163,1))),1)</f>
        <v>220.4</v>
      </c>
      <c r="V214" s="9">
        <f>Source!Y163</f>
        <v>3519.4</v>
      </c>
    </row>
    <row r="215" spans="1:18" s="9" customFormat="1" ht="11.25">
      <c r="A215" s="45"/>
      <c r="B215" s="46"/>
      <c r="C215" s="46" t="s">
        <v>758</v>
      </c>
      <c r="D215" s="47"/>
      <c r="E215" s="48"/>
      <c r="F215" s="49">
        <f>Source!AO163</f>
        <v>81.63</v>
      </c>
      <c r="G215" s="50">
        <f>Source!DG163</f>
      </c>
      <c r="H215" s="51">
        <f>ROUND(Source!AF163*Source!I163,1)</f>
        <v>293.9</v>
      </c>
      <c r="I215" s="50"/>
      <c r="J215" s="50">
        <f>IF(Source!BA163&lt;&gt;0,Source!BA163,1)</f>
        <v>19.96</v>
      </c>
      <c r="K215" s="51">
        <f>Source!S163</f>
        <v>5865.6</v>
      </c>
      <c r="L215" s="52"/>
      <c r="R215" s="9">
        <f>H215</f>
        <v>293.9</v>
      </c>
    </row>
    <row r="216" spans="1:12" s="9" customFormat="1" ht="11.25">
      <c r="A216" s="45"/>
      <c r="B216" s="46"/>
      <c r="C216" s="46" t="s">
        <v>71</v>
      </c>
      <c r="D216" s="47"/>
      <c r="E216" s="48"/>
      <c r="F216" s="49">
        <f>Source!AM163</f>
        <v>0.28</v>
      </c>
      <c r="G216" s="50">
        <f>Source!DE163</f>
      </c>
      <c r="H216" s="51">
        <f>ROUND(Source!AD163*Source!I163,1)</f>
        <v>1</v>
      </c>
      <c r="I216" s="50"/>
      <c r="J216" s="50">
        <f>IF(Source!BB163&lt;&gt;0,Source!BB163,1)</f>
        <v>7.11</v>
      </c>
      <c r="K216" s="51">
        <f>Source!Q163</f>
        <v>7.2</v>
      </c>
      <c r="L216" s="52"/>
    </row>
    <row r="217" spans="1:12" s="9" customFormat="1" ht="11.25">
      <c r="A217" s="45"/>
      <c r="B217" s="46"/>
      <c r="C217" s="46" t="s">
        <v>765</v>
      </c>
      <c r="D217" s="47"/>
      <c r="E217" s="48"/>
      <c r="F217" s="49">
        <f>Source!AL163</f>
        <v>0.47</v>
      </c>
      <c r="G217" s="50">
        <f>Source!DD163</f>
      </c>
      <c r="H217" s="51">
        <f>ROUND(Source!AC163*Source!I163,1)</f>
        <v>1.7</v>
      </c>
      <c r="I217" s="50"/>
      <c r="J217" s="50">
        <f>IF(Source!BC163&lt;&gt;0,Source!BC163,1)</f>
        <v>5.66</v>
      </c>
      <c r="K217" s="51">
        <f>Source!P163</f>
        <v>9.6</v>
      </c>
      <c r="L217" s="52"/>
    </row>
    <row r="218" spans="1:12" s="9" customFormat="1" ht="11.25">
      <c r="A218" s="45"/>
      <c r="B218" s="46"/>
      <c r="C218" s="46" t="s">
        <v>759</v>
      </c>
      <c r="D218" s="47" t="s">
        <v>760</v>
      </c>
      <c r="E218" s="48">
        <f>Source!BZ163</f>
        <v>145</v>
      </c>
      <c r="F218" s="53"/>
      <c r="G218" s="50"/>
      <c r="H218" s="51">
        <f>SUM(S214:S220)</f>
        <v>426.2</v>
      </c>
      <c r="I218" s="50" t="str">
        <f>CONCATENATE(Source!FX163,Source!FV163,"=")</f>
        <v>145*0,85=</v>
      </c>
      <c r="J218" s="13">
        <f>Source!AT163</f>
        <v>123</v>
      </c>
      <c r="K218" s="51">
        <f>SUM(T214:T220)</f>
        <v>7214.7</v>
      </c>
      <c r="L218" s="52"/>
    </row>
    <row r="219" spans="1:12" s="9" customFormat="1" ht="11.25">
      <c r="A219" s="45"/>
      <c r="B219" s="46"/>
      <c r="C219" s="46" t="s">
        <v>761</v>
      </c>
      <c r="D219" s="47" t="s">
        <v>760</v>
      </c>
      <c r="E219" s="48">
        <f>Source!CA163</f>
        <v>75</v>
      </c>
      <c r="F219" s="53"/>
      <c r="G219" s="50"/>
      <c r="H219" s="51">
        <f>SUM(U214:U220)</f>
        <v>220.4</v>
      </c>
      <c r="I219" s="50" t="str">
        <f>CONCATENATE(Source!FY163,Source!FW163,"=")</f>
        <v>75*0,8=</v>
      </c>
      <c r="J219" s="13">
        <f>Source!AU163</f>
        <v>60</v>
      </c>
      <c r="K219" s="51">
        <f>SUM(V214:V220)</f>
        <v>3519.4</v>
      </c>
      <c r="L219" s="52"/>
    </row>
    <row r="220" spans="1:12" s="9" customFormat="1" ht="11.25">
      <c r="A220" s="54"/>
      <c r="B220" s="22"/>
      <c r="C220" s="22" t="s">
        <v>762</v>
      </c>
      <c r="D220" s="23" t="s">
        <v>763</v>
      </c>
      <c r="E220" s="24">
        <f>Source!AQ163</f>
        <v>9</v>
      </c>
      <c r="F220" s="25"/>
      <c r="G220" s="26">
        <f>Source!DI163</f>
      </c>
      <c r="H220" s="27"/>
      <c r="I220" s="26"/>
      <c r="J220" s="26"/>
      <c r="K220" s="27"/>
      <c r="L220" s="55">
        <f>Source!U163</f>
        <v>32.4</v>
      </c>
    </row>
    <row r="221" spans="1:26" s="9" customFormat="1" ht="11.25">
      <c r="A221" s="43"/>
      <c r="B221" s="14"/>
      <c r="C221" s="14"/>
      <c r="D221" s="14"/>
      <c r="E221" s="14"/>
      <c r="F221" s="14"/>
      <c r="G221" s="87">
        <f>H215+H216+H217+H218+H219</f>
        <v>943.1999999999999</v>
      </c>
      <c r="H221" s="87"/>
      <c r="I221" s="14"/>
      <c r="J221" s="87">
        <f>K215+K216+K217+K218+K219</f>
        <v>16616.5</v>
      </c>
      <c r="K221" s="87"/>
      <c r="L221" s="56">
        <f>Source!U163</f>
        <v>32.4</v>
      </c>
      <c r="O221" s="28">
        <f>G221</f>
        <v>943.1999999999999</v>
      </c>
      <c r="P221" s="28">
        <f>J221</f>
        <v>16616.5</v>
      </c>
      <c r="Q221" s="10">
        <f>L221</f>
        <v>32.4</v>
      </c>
      <c r="W221" s="9">
        <f>IF(Source!BI163&lt;=1,H215+H216+H217+H218+H219,0)</f>
        <v>943.1999999999999</v>
      </c>
      <c r="X221" s="9">
        <f>IF(Source!BI163=2,H215+H216+H217+H218+H219,0)</f>
        <v>0</v>
      </c>
      <c r="Y221" s="9">
        <f>IF(Source!BI163=3,H215+H216+H217+H218+H219,0)</f>
        <v>0</v>
      </c>
      <c r="Z221" s="9">
        <f>IF(Source!BI163=4,H215+H216+H217+H218+H219,0)</f>
        <v>0</v>
      </c>
    </row>
    <row r="222" spans="1:22" s="9" customFormat="1" ht="78.75">
      <c r="A222" s="45" t="str">
        <f>Source!E164</f>
        <v>23</v>
      </c>
      <c r="B222" s="46" t="str">
        <f>Source!BJ164</f>
        <v>ФЕР-2001, 22-01-002-01, приказ Минстроя России №1039/пр от 30.12.2016г.</v>
      </c>
      <c r="C222" s="46" t="str">
        <f>Source!G164</f>
        <v>Укладка хризотилцементных водопроводных труб с соединением труб чугунными муфтами диаметром 100 мм</v>
      </c>
      <c r="D222" s="47" t="str">
        <f>Source!H164</f>
        <v>км</v>
      </c>
      <c r="E222" s="48">
        <f>Source!I164</f>
        <v>0.042</v>
      </c>
      <c r="F222" s="49">
        <f>Source!AL164+Source!AM164+Source!AO164</f>
        <v>5750.34</v>
      </c>
      <c r="G222" s="50"/>
      <c r="H222" s="51"/>
      <c r="I222" s="50" t="str">
        <f>Source!BO164</f>
        <v>РСЦ с 1.09.2017г.</v>
      </c>
      <c r="J222" s="50"/>
      <c r="K222" s="51"/>
      <c r="L222" s="52"/>
      <c r="S222" s="9">
        <f>ROUND((Source!FX164/100)*((ROUND(Source!AF164*Source!I164,1)+ROUND(Source!AE164*Source!I164,1))),1)</f>
        <v>183.4</v>
      </c>
      <c r="T222" s="9">
        <f>Source!X164</f>
        <v>3126</v>
      </c>
      <c r="U222" s="9">
        <f>ROUND((Source!FY164/100)*((ROUND(Source!AF164*Source!I164,1)+ROUND(Source!AE164*Source!I164,1))),1)</f>
        <v>125.6</v>
      </c>
      <c r="V222" s="9">
        <f>Source!Y164</f>
        <v>1999.5</v>
      </c>
    </row>
    <row r="223" spans="1:18" s="9" customFormat="1" ht="11.25">
      <c r="A223" s="45"/>
      <c r="B223" s="46"/>
      <c r="C223" s="46" t="s">
        <v>758</v>
      </c>
      <c r="D223" s="47"/>
      <c r="E223" s="48"/>
      <c r="F223" s="49">
        <f>Source!AO164</f>
        <v>3327.93</v>
      </c>
      <c r="G223" s="50">
        <f>Source!DG164</f>
      </c>
      <c r="H223" s="51">
        <f>ROUND(Source!AF164*Source!I164,1)</f>
        <v>139.8</v>
      </c>
      <c r="I223" s="50"/>
      <c r="J223" s="50">
        <f>IF(Source!BA164&lt;&gt;0,Source!BA164,1)</f>
        <v>19.96</v>
      </c>
      <c r="K223" s="51">
        <f>Source!S164</f>
        <v>2789.9</v>
      </c>
      <c r="L223" s="52"/>
      <c r="R223" s="9">
        <f>H223</f>
        <v>139.8</v>
      </c>
    </row>
    <row r="224" spans="1:12" s="9" customFormat="1" ht="11.25">
      <c r="A224" s="45"/>
      <c r="B224" s="46"/>
      <c r="C224" s="46" t="s">
        <v>71</v>
      </c>
      <c r="D224" s="47"/>
      <c r="E224" s="48"/>
      <c r="F224" s="49">
        <f>Source!AM164</f>
        <v>518.43</v>
      </c>
      <c r="G224" s="50">
        <f>Source!DE164</f>
      </c>
      <c r="H224" s="51">
        <f>ROUND(Source!AD164*Source!I164,1)</f>
        <v>21.8</v>
      </c>
      <c r="I224" s="50"/>
      <c r="J224" s="50">
        <f>IF(Source!BB164&lt;&gt;0,Source!BB164,1)</f>
        <v>7.11</v>
      </c>
      <c r="K224" s="51">
        <f>Source!Q164</f>
        <v>154.8</v>
      </c>
      <c r="L224" s="52"/>
    </row>
    <row r="225" spans="1:18" s="9" customFormat="1" ht="11.25">
      <c r="A225" s="45"/>
      <c r="B225" s="46"/>
      <c r="C225" s="46" t="s">
        <v>764</v>
      </c>
      <c r="D225" s="47"/>
      <c r="E225" s="48"/>
      <c r="F225" s="49">
        <f>Source!AN164</f>
        <v>31.42</v>
      </c>
      <c r="G225" s="50">
        <f>Source!DF164</f>
      </c>
      <c r="H225" s="59">
        <f>ROUND(Source!AE164*Source!I164,1)</f>
        <v>1.3</v>
      </c>
      <c r="I225" s="50"/>
      <c r="J225" s="50">
        <f>IF(Source!BS164&lt;&gt;0,Source!BS164,1)</f>
        <v>19.96</v>
      </c>
      <c r="K225" s="59">
        <f>Source!R164</f>
        <v>26.3</v>
      </c>
      <c r="L225" s="52"/>
      <c r="R225" s="9">
        <f>H225</f>
        <v>1.3</v>
      </c>
    </row>
    <row r="226" spans="1:12" s="9" customFormat="1" ht="11.25">
      <c r="A226" s="45"/>
      <c r="B226" s="46"/>
      <c r="C226" s="46" t="s">
        <v>765</v>
      </c>
      <c r="D226" s="47"/>
      <c r="E226" s="48"/>
      <c r="F226" s="49">
        <f>Source!AL164</f>
        <v>1903.98</v>
      </c>
      <c r="G226" s="50">
        <f>Source!DD164</f>
      </c>
      <c r="H226" s="51">
        <f>ROUND(Source!AC164*Source!I164,1)</f>
        <v>80</v>
      </c>
      <c r="I226" s="50"/>
      <c r="J226" s="50">
        <f>IF(Source!BC164&lt;&gt;0,Source!BC164,1)</f>
        <v>5.66</v>
      </c>
      <c r="K226" s="51">
        <f>Source!P164</f>
        <v>452.6</v>
      </c>
      <c r="L226" s="52"/>
    </row>
    <row r="227" spans="1:12" s="9" customFormat="1" ht="11.25">
      <c r="A227" s="45"/>
      <c r="B227" s="46"/>
      <c r="C227" s="46" t="s">
        <v>759</v>
      </c>
      <c r="D227" s="47" t="s">
        <v>760</v>
      </c>
      <c r="E227" s="48">
        <f>Source!BZ164</f>
        <v>130</v>
      </c>
      <c r="F227" s="53"/>
      <c r="G227" s="50"/>
      <c r="H227" s="51">
        <f>SUM(S222:S229)</f>
        <v>183.4</v>
      </c>
      <c r="I227" s="50" t="str">
        <f>CONCATENATE(Source!FX164,Source!FV164,"=")</f>
        <v>130*0,85=</v>
      </c>
      <c r="J227" s="13">
        <f>Source!AT164</f>
        <v>111</v>
      </c>
      <c r="K227" s="51">
        <f>SUM(T222:T229)</f>
        <v>3126</v>
      </c>
      <c r="L227" s="52"/>
    </row>
    <row r="228" spans="1:12" s="9" customFormat="1" ht="11.25">
      <c r="A228" s="45"/>
      <c r="B228" s="46"/>
      <c r="C228" s="46" t="s">
        <v>761</v>
      </c>
      <c r="D228" s="47" t="s">
        <v>760</v>
      </c>
      <c r="E228" s="48">
        <f>Source!CA164</f>
        <v>89</v>
      </c>
      <c r="F228" s="53"/>
      <c r="G228" s="50"/>
      <c r="H228" s="51">
        <f>SUM(U222:U229)</f>
        <v>125.6</v>
      </c>
      <c r="I228" s="50" t="str">
        <f>CONCATENATE(Source!FY164,Source!FW164,"=")</f>
        <v>89*0,8=</v>
      </c>
      <c r="J228" s="13">
        <f>Source!AU164</f>
        <v>71</v>
      </c>
      <c r="K228" s="51">
        <f>SUM(V222:V229)</f>
        <v>1999.5</v>
      </c>
      <c r="L228" s="52"/>
    </row>
    <row r="229" spans="1:12" s="9" customFormat="1" ht="11.25">
      <c r="A229" s="54"/>
      <c r="B229" s="22"/>
      <c r="C229" s="22" t="s">
        <v>762</v>
      </c>
      <c r="D229" s="23" t="s">
        <v>763</v>
      </c>
      <c r="E229" s="24">
        <f>Source!AQ164</f>
        <v>362.52</v>
      </c>
      <c r="F229" s="25"/>
      <c r="G229" s="26">
        <f>Source!DI164</f>
      </c>
      <c r="H229" s="27"/>
      <c r="I229" s="26"/>
      <c r="J229" s="26"/>
      <c r="K229" s="27"/>
      <c r="L229" s="55">
        <f>Source!U164</f>
        <v>15.22584</v>
      </c>
    </row>
    <row r="230" spans="1:26" s="9" customFormat="1" ht="11.25">
      <c r="A230" s="43"/>
      <c r="B230" s="14"/>
      <c r="C230" s="14"/>
      <c r="D230" s="14"/>
      <c r="E230" s="14"/>
      <c r="F230" s="14"/>
      <c r="G230" s="87">
        <f>H223+H224+H226+H227+H228</f>
        <v>550.6</v>
      </c>
      <c r="H230" s="87"/>
      <c r="I230" s="14"/>
      <c r="J230" s="87">
        <f>K223+K224+K226+K227+K228</f>
        <v>8522.8</v>
      </c>
      <c r="K230" s="87"/>
      <c r="L230" s="56">
        <f>Source!U164</f>
        <v>15.22584</v>
      </c>
      <c r="O230" s="28">
        <f>G230</f>
        <v>550.6</v>
      </c>
      <c r="P230" s="28">
        <f>J230</f>
        <v>8522.8</v>
      </c>
      <c r="Q230" s="10">
        <f>L230</f>
        <v>15.22584</v>
      </c>
      <c r="W230" s="9">
        <f>IF(Source!BI164&lt;=1,H223+H224+H226+H227+H228,0)</f>
        <v>550.6</v>
      </c>
      <c r="X230" s="9">
        <f>IF(Source!BI164=2,H223+H224+H226+H227+H228,0)</f>
        <v>0</v>
      </c>
      <c r="Y230" s="9">
        <f>IF(Source!BI164=3,H223+H224+H226+H227+H228,0)</f>
        <v>0</v>
      </c>
      <c r="Z230" s="9">
        <f>IF(Source!BI164=4,H223+H224+H226+H227+H228,0)</f>
        <v>0</v>
      </c>
    </row>
    <row r="231" spans="1:22" s="9" customFormat="1" ht="78.75">
      <c r="A231" s="54" t="str">
        <f>Source!E165</f>
        <v>24</v>
      </c>
      <c r="B231" s="22" t="str">
        <f>Source!BJ165</f>
        <v>ФССЦ-2001, 24.2.05.01-0001, приказ Минстроя России №1039/пр от 30.12.2016г.</v>
      </c>
      <c r="C231" s="22" t="str">
        <f>Source!G165</f>
        <v>Трубы хризотилцементные безнапорные БНТ, диаметр условного прохода 100 мм</v>
      </c>
      <c r="D231" s="23" t="str">
        <f>Source!H165</f>
        <v>м</v>
      </c>
      <c r="E231" s="24">
        <f>Source!I165</f>
        <v>42.336</v>
      </c>
      <c r="F231" s="25">
        <f>Source!AL165</f>
        <v>14.5</v>
      </c>
      <c r="G231" s="26">
        <f>Source!DD165</f>
      </c>
      <c r="H231" s="27">
        <f>ROUND(Source!AC165*Source!I165,1)</f>
        <v>613.9</v>
      </c>
      <c r="I231" s="26" t="str">
        <f>Source!BO165</f>
        <v>РСЦ с 1.09.2017г.</v>
      </c>
      <c r="J231" s="26">
        <f>IF(Source!BC165&lt;&gt;0,Source!BC165,1)</f>
        <v>5.66</v>
      </c>
      <c r="K231" s="27">
        <f>Source!P165</f>
        <v>3474.5</v>
      </c>
      <c r="L231" s="57"/>
      <c r="S231" s="9">
        <f>ROUND((Source!FX165/100)*((ROUND(Source!AF165*Source!I165,1)+ROUND(Source!AE165*Source!I165,1))),1)</f>
        <v>0</v>
      </c>
      <c r="T231" s="9">
        <f>Source!X165</f>
        <v>0</v>
      </c>
      <c r="U231" s="9">
        <f>ROUND((Source!FY165/100)*((ROUND(Source!AF165*Source!I165,1)+ROUND(Source!AE165*Source!I165,1))),1)</f>
        <v>0</v>
      </c>
      <c r="V231" s="9">
        <f>Source!Y165</f>
        <v>0</v>
      </c>
    </row>
    <row r="232" spans="1:26" s="9" customFormat="1" ht="11.25">
      <c r="A232" s="43"/>
      <c r="B232" s="14"/>
      <c r="C232" s="14"/>
      <c r="D232" s="14"/>
      <c r="E232" s="14"/>
      <c r="F232" s="14"/>
      <c r="G232" s="87">
        <f>H231</f>
        <v>613.9</v>
      </c>
      <c r="H232" s="87"/>
      <c r="I232" s="14"/>
      <c r="J232" s="87">
        <f>K231</f>
        <v>3474.5</v>
      </c>
      <c r="K232" s="87"/>
      <c r="L232" s="56">
        <f>Source!U165</f>
        <v>0</v>
      </c>
      <c r="O232" s="28">
        <f>G232</f>
        <v>613.9</v>
      </c>
      <c r="P232" s="28">
        <f>J232</f>
        <v>3474.5</v>
      </c>
      <c r="Q232" s="10">
        <f>L232</f>
        <v>0</v>
      </c>
      <c r="W232" s="9">
        <f>IF(Source!BI165&lt;=1,H231,0)</f>
        <v>613.9</v>
      </c>
      <c r="X232" s="9">
        <f>IF(Source!BI165=2,H231,0)</f>
        <v>0</v>
      </c>
      <c r="Y232" s="9">
        <f>IF(Source!BI165=3,H231,0)</f>
        <v>0</v>
      </c>
      <c r="Z232" s="9">
        <f>IF(Source!BI165=4,H231,0)</f>
        <v>0</v>
      </c>
    </row>
    <row r="233" spans="1:22" s="9" customFormat="1" ht="78.75">
      <c r="A233" s="45" t="str">
        <f>Source!E166</f>
        <v>25</v>
      </c>
      <c r="B233" s="46" t="str">
        <f>Source!BJ166</f>
        <v>ФЕР-2001, 06-01-015-06, приказ Минстроя России №1039/пр от 30.12.2016г.</v>
      </c>
      <c r="C233" s="46" t="str">
        <f>Source!G166</f>
        <v>Установка стальных конструкций, остающихся в теле бетона (пластина 300*300*10-12шт и арматура -200мм - д. 8 мм2 -24шт и арматурная сетка)</v>
      </c>
      <c r="D233" s="47" t="str">
        <f>Source!H166</f>
        <v>т</v>
      </c>
      <c r="E233" s="48">
        <f>Source!I166</f>
        <v>0.181</v>
      </c>
      <c r="F233" s="49">
        <f>Source!AL166+Source!AM166+Source!AO166</f>
        <v>958.1400000000001</v>
      </c>
      <c r="G233" s="50"/>
      <c r="H233" s="51"/>
      <c r="I233" s="50" t="str">
        <f>Source!BO166</f>
        <v>РСЦ с 1.09.2017г.</v>
      </c>
      <c r="J233" s="50"/>
      <c r="K233" s="51"/>
      <c r="L233" s="52"/>
      <c r="S233" s="9">
        <f>ROUND((Source!FX166/100)*((ROUND(Source!AF166*Source!I166,1)+ROUND(Source!AE166*Source!I166,1))),1)</f>
        <v>95</v>
      </c>
      <c r="T233" s="9">
        <f>Source!X166</f>
        <v>1607.2</v>
      </c>
      <c r="U233" s="9">
        <f>ROUND((Source!FY166/100)*((ROUND(Source!AF166*Source!I166,1)+ROUND(Source!AE166*Source!I166,1))),1)</f>
        <v>58.8</v>
      </c>
      <c r="V233" s="9">
        <f>Source!Y166</f>
        <v>939</v>
      </c>
    </row>
    <row r="234" spans="1:18" s="9" customFormat="1" ht="11.25">
      <c r="A234" s="45"/>
      <c r="B234" s="46"/>
      <c r="C234" s="46" t="s">
        <v>758</v>
      </c>
      <c r="D234" s="47"/>
      <c r="E234" s="48"/>
      <c r="F234" s="49">
        <f>Source!AO166</f>
        <v>445.69</v>
      </c>
      <c r="G234" s="50">
        <f>Source!DG166</f>
      </c>
      <c r="H234" s="51">
        <f>ROUND(Source!AF166*Source!I166,1)</f>
        <v>80.7</v>
      </c>
      <c r="I234" s="50"/>
      <c r="J234" s="50">
        <f>IF(Source!BA166&lt;&gt;0,Source!BA166,1)</f>
        <v>19.96</v>
      </c>
      <c r="K234" s="51">
        <f>Source!S166</f>
        <v>1610.2</v>
      </c>
      <c r="L234" s="52"/>
      <c r="R234" s="9">
        <f>H234</f>
        <v>80.7</v>
      </c>
    </row>
    <row r="235" spans="1:12" s="9" customFormat="1" ht="11.25">
      <c r="A235" s="45"/>
      <c r="B235" s="46"/>
      <c r="C235" s="46" t="s">
        <v>71</v>
      </c>
      <c r="D235" s="47"/>
      <c r="E235" s="48"/>
      <c r="F235" s="49">
        <f>Source!AM166</f>
        <v>440.24</v>
      </c>
      <c r="G235" s="50">
        <f>Source!DE166</f>
      </c>
      <c r="H235" s="51">
        <f>ROUND(Source!AD166*Source!I166,1)</f>
        <v>79.7</v>
      </c>
      <c r="I235" s="50"/>
      <c r="J235" s="50">
        <f>IF(Source!BB166&lt;&gt;0,Source!BB166,1)</f>
        <v>7.11</v>
      </c>
      <c r="K235" s="51">
        <f>Source!Q166</f>
        <v>566.5</v>
      </c>
      <c r="L235" s="52"/>
    </row>
    <row r="236" spans="1:18" s="9" customFormat="1" ht="11.25">
      <c r="A236" s="45"/>
      <c r="B236" s="46"/>
      <c r="C236" s="46" t="s">
        <v>764</v>
      </c>
      <c r="D236" s="47"/>
      <c r="E236" s="48"/>
      <c r="F236" s="49">
        <f>Source!AN166</f>
        <v>54.14</v>
      </c>
      <c r="G236" s="50">
        <f>Source!DF166</f>
      </c>
      <c r="H236" s="59">
        <f>ROUND(Source!AE166*Source!I166,1)</f>
        <v>9.8</v>
      </c>
      <c r="I236" s="50"/>
      <c r="J236" s="50">
        <f>IF(Source!BS166&lt;&gt;0,Source!BS166,1)</f>
        <v>19.96</v>
      </c>
      <c r="K236" s="59">
        <f>Source!R166</f>
        <v>195.6</v>
      </c>
      <c r="L236" s="52"/>
      <c r="R236" s="9">
        <f>H236</f>
        <v>9.8</v>
      </c>
    </row>
    <row r="237" spans="1:12" s="9" customFormat="1" ht="11.25">
      <c r="A237" s="45"/>
      <c r="B237" s="46"/>
      <c r="C237" s="46" t="s">
        <v>765</v>
      </c>
      <c r="D237" s="47"/>
      <c r="E237" s="48"/>
      <c r="F237" s="49">
        <f>Source!AL166</f>
        <v>72.21</v>
      </c>
      <c r="G237" s="50">
        <f>Source!DD166</f>
      </c>
      <c r="H237" s="51">
        <f>ROUND(Source!AC166*Source!I166,1)</f>
        <v>13.1</v>
      </c>
      <c r="I237" s="50"/>
      <c r="J237" s="50">
        <f>IF(Source!BC166&lt;&gt;0,Source!BC166,1)</f>
        <v>5.66</v>
      </c>
      <c r="K237" s="51">
        <f>Source!P166</f>
        <v>74</v>
      </c>
      <c r="L237" s="52"/>
    </row>
    <row r="238" spans="1:12" s="9" customFormat="1" ht="11.25">
      <c r="A238" s="45"/>
      <c r="B238" s="46"/>
      <c r="C238" s="46" t="s">
        <v>759</v>
      </c>
      <c r="D238" s="47" t="s">
        <v>760</v>
      </c>
      <c r="E238" s="48">
        <f>Source!BZ166</f>
        <v>105</v>
      </c>
      <c r="F238" s="53"/>
      <c r="G238" s="50"/>
      <c r="H238" s="51">
        <f>SUM(S233:S241)</f>
        <v>95</v>
      </c>
      <c r="I238" s="50" t="str">
        <f>CONCATENATE(Source!FX166,Source!FV166,"=")</f>
        <v>105*0,85=</v>
      </c>
      <c r="J238" s="13">
        <f>Source!AT166</f>
        <v>89</v>
      </c>
      <c r="K238" s="51">
        <f>SUM(T233:T241)</f>
        <v>1607.2</v>
      </c>
      <c r="L238" s="52"/>
    </row>
    <row r="239" spans="1:12" s="9" customFormat="1" ht="11.25">
      <c r="A239" s="45"/>
      <c r="B239" s="46"/>
      <c r="C239" s="46" t="s">
        <v>761</v>
      </c>
      <c r="D239" s="47" t="s">
        <v>760</v>
      </c>
      <c r="E239" s="48">
        <f>Source!CA166</f>
        <v>65</v>
      </c>
      <c r="F239" s="53"/>
      <c r="G239" s="50"/>
      <c r="H239" s="51">
        <f>SUM(U233:U241)</f>
        <v>58.8</v>
      </c>
      <c r="I239" s="50" t="str">
        <f>CONCATENATE(Source!FY166,Source!FW166,"=")</f>
        <v>65*0,8=</v>
      </c>
      <c r="J239" s="13">
        <f>Source!AU166</f>
        <v>52</v>
      </c>
      <c r="K239" s="51">
        <f>SUM(V233:V241)</f>
        <v>939</v>
      </c>
      <c r="L239" s="52"/>
    </row>
    <row r="240" spans="1:12" s="9" customFormat="1" ht="11.25">
      <c r="A240" s="45"/>
      <c r="B240" s="46"/>
      <c r="C240" s="46" t="s">
        <v>762</v>
      </c>
      <c r="D240" s="47" t="s">
        <v>763</v>
      </c>
      <c r="E240" s="48">
        <f>Source!AQ166</f>
        <v>46.33</v>
      </c>
      <c r="F240" s="49"/>
      <c r="G240" s="50">
        <f>Source!DI166</f>
      </c>
      <c r="H240" s="51"/>
      <c r="I240" s="50"/>
      <c r="J240" s="50"/>
      <c r="K240" s="51"/>
      <c r="L240" s="65">
        <f>Source!U166</f>
        <v>8.385729999999999</v>
      </c>
    </row>
    <row r="241" spans="1:26" s="9" customFormat="1" ht="78.75">
      <c r="A241" s="54" t="str">
        <f>Source!E167</f>
        <v>25,1</v>
      </c>
      <c r="B241" s="22" t="str">
        <f>Source!BJ167</f>
        <v>ФССЦ-2001, 08.4.03.02-0002, приказ Минстроя России №1039/пр от 30.12.2016г.</v>
      </c>
      <c r="C241" s="22" t="str">
        <f>Source!G167</f>
        <v>Горячекатаная арматурная сталь гладкая класса А-I, диаметром 8 мм</v>
      </c>
      <c r="D241" s="23" t="str">
        <f>Source!H167</f>
        <v>т</v>
      </c>
      <c r="E241" s="24">
        <f>Source!I167</f>
        <v>0.181</v>
      </c>
      <c r="F241" s="25">
        <f>Source!AL167+Source!AM167+Source!AO167</f>
        <v>6780</v>
      </c>
      <c r="G241" s="32" t="s">
        <v>3</v>
      </c>
      <c r="H241" s="27">
        <f>ROUND(Source!AC167*Source!I167,1)+ROUND(Source!AD167*Source!I167,1)+ROUND(Source!AF167*Source!I167,1)</f>
        <v>1227.2</v>
      </c>
      <c r="I241" s="26"/>
      <c r="J241" s="26">
        <f>IF(Source!BC167&lt;&gt;0,Source!BC167,1)</f>
        <v>5.66</v>
      </c>
      <c r="K241" s="27">
        <f>Source!O167</f>
        <v>6945.8</v>
      </c>
      <c r="L241" s="57"/>
      <c r="S241" s="9">
        <f>ROUND((Source!FX167/100)*((ROUND(Source!AF167*Source!I167,1)+ROUND(Source!AE167*Source!I167,1))),1)</f>
        <v>0</v>
      </c>
      <c r="T241" s="9">
        <f>Source!X167</f>
        <v>0</v>
      </c>
      <c r="U241" s="9">
        <f>ROUND((Source!FY167/100)*((ROUND(Source!AF167*Source!I167,1)+ROUND(Source!AE167*Source!I167,1))),1)</f>
        <v>0</v>
      </c>
      <c r="V241" s="9">
        <f>Source!Y167</f>
        <v>0</v>
      </c>
      <c r="W241" s="9">
        <f>IF(Source!BI167&lt;=1,H241,0)</f>
        <v>1227.2</v>
      </c>
      <c r="X241" s="9">
        <f>IF(Source!BI167=2,H241,0)</f>
        <v>0</v>
      </c>
      <c r="Y241" s="9">
        <f>IF(Source!BI167=3,H241,0)</f>
        <v>0</v>
      </c>
      <c r="Z241" s="9">
        <f>IF(Source!BI167=4,H241,0)</f>
        <v>0</v>
      </c>
    </row>
    <row r="242" spans="1:26" s="9" customFormat="1" ht="11.25">
      <c r="A242" s="43"/>
      <c r="B242" s="14"/>
      <c r="C242" s="14"/>
      <c r="D242" s="14"/>
      <c r="E242" s="14"/>
      <c r="F242" s="14"/>
      <c r="G242" s="87">
        <f>H234+H235+H237+H238+H239+SUM(H241:H241)</f>
        <v>1554.5</v>
      </c>
      <c r="H242" s="87"/>
      <c r="I242" s="14"/>
      <c r="J242" s="87">
        <f>K234+K235+K237+K238+K239+SUM(K241:K241)</f>
        <v>11742.7</v>
      </c>
      <c r="K242" s="87"/>
      <c r="L242" s="56">
        <f>Source!U166</f>
        <v>8.385729999999999</v>
      </c>
      <c r="O242" s="28">
        <f>G242</f>
        <v>1554.5</v>
      </c>
      <c r="P242" s="28">
        <f>J242</f>
        <v>11742.7</v>
      </c>
      <c r="Q242" s="10">
        <f>L242</f>
        <v>8.385729999999999</v>
      </c>
      <c r="W242" s="9">
        <f>IF(Source!BI166&lt;=1,H234+H235+H237+H238+H239,0)</f>
        <v>327.3</v>
      </c>
      <c r="X242" s="9">
        <f>IF(Source!BI166=2,H234+H235+H237+H238+H239,0)</f>
        <v>0</v>
      </c>
      <c r="Y242" s="9">
        <f>IF(Source!BI166=3,H234+H235+H237+H238+H239,0)</f>
        <v>0</v>
      </c>
      <c r="Z242" s="9">
        <f>IF(Source!BI166=4,H234+H235+H237+H238+H239,0)</f>
        <v>0</v>
      </c>
    </row>
    <row r="243" spans="1:22" s="9" customFormat="1" ht="78.75">
      <c r="A243" s="45" t="str">
        <f>Source!E168</f>
        <v>26</v>
      </c>
      <c r="B243" s="46" t="str">
        <f>Source!BJ168</f>
        <v>ФЕР-2001, 06-01-015-10, приказ Минстроя России №1039/пр от 30.12.2016г.</v>
      </c>
      <c r="C243" s="46" t="str">
        <f>Source!G168</f>
        <v>Армирование подстилающих слоев и набетонок</v>
      </c>
      <c r="D243" s="47" t="str">
        <f>Source!H168</f>
        <v>т</v>
      </c>
      <c r="E243" s="48">
        <f>Source!I168</f>
        <v>0.03</v>
      </c>
      <c r="F243" s="49">
        <f>Source!AL168+Source!AM168+Source!AO168</f>
        <v>429.97</v>
      </c>
      <c r="G243" s="50"/>
      <c r="H243" s="51"/>
      <c r="I243" s="50" t="str">
        <f>Source!BO168</f>
        <v>РСЦ с 1.09.2017г.</v>
      </c>
      <c r="J243" s="50"/>
      <c r="K243" s="51"/>
      <c r="L243" s="52"/>
      <c r="S243" s="9">
        <f>ROUND((Source!FX168/100)*((ROUND(Source!AF168*Source!I168,1)+ROUND(Source!AE168*Source!I168,1))),1)</f>
        <v>3.7</v>
      </c>
      <c r="T243" s="9">
        <f>Source!X168</f>
        <v>62.2</v>
      </c>
      <c r="U243" s="9">
        <f>ROUND((Source!FY168/100)*((ROUND(Source!AF168*Source!I168,1)+ROUND(Source!AE168*Source!I168,1))),1)</f>
        <v>2.3</v>
      </c>
      <c r="V243" s="9">
        <f>Source!Y168</f>
        <v>36.3</v>
      </c>
    </row>
    <row r="244" spans="1:18" s="9" customFormat="1" ht="11.25">
      <c r="A244" s="45"/>
      <c r="B244" s="46"/>
      <c r="C244" s="46" t="s">
        <v>758</v>
      </c>
      <c r="D244" s="47"/>
      <c r="E244" s="48"/>
      <c r="F244" s="49">
        <f>Source!AO168</f>
        <v>111.99</v>
      </c>
      <c r="G244" s="50">
        <f>Source!DG168</f>
      </c>
      <c r="H244" s="51">
        <f>ROUND(Source!AF168*Source!I168,1)</f>
        <v>3.4</v>
      </c>
      <c r="I244" s="50"/>
      <c r="J244" s="50">
        <f>IF(Source!BA168&lt;&gt;0,Source!BA168,1)</f>
        <v>19.96</v>
      </c>
      <c r="K244" s="51">
        <f>Source!S168</f>
        <v>67.1</v>
      </c>
      <c r="L244" s="52"/>
      <c r="R244" s="9">
        <f>H244</f>
        <v>3.4</v>
      </c>
    </row>
    <row r="245" spans="1:12" s="9" customFormat="1" ht="11.25">
      <c r="A245" s="45"/>
      <c r="B245" s="46"/>
      <c r="C245" s="46" t="s">
        <v>71</v>
      </c>
      <c r="D245" s="47"/>
      <c r="E245" s="48"/>
      <c r="F245" s="49">
        <f>Source!AM168</f>
        <v>32.38</v>
      </c>
      <c r="G245" s="50">
        <f>Source!DE168</f>
      </c>
      <c r="H245" s="51">
        <f>ROUND(Source!AD168*Source!I168,1)</f>
        <v>1</v>
      </c>
      <c r="I245" s="50"/>
      <c r="J245" s="50">
        <f>IF(Source!BB168&lt;&gt;0,Source!BB168,1)</f>
        <v>7.11</v>
      </c>
      <c r="K245" s="51">
        <f>Source!Q168</f>
        <v>6.9</v>
      </c>
      <c r="L245" s="52"/>
    </row>
    <row r="246" spans="1:18" s="9" customFormat="1" ht="11.25">
      <c r="A246" s="45"/>
      <c r="B246" s="46"/>
      <c r="C246" s="46" t="s">
        <v>764</v>
      </c>
      <c r="D246" s="47"/>
      <c r="E246" s="48"/>
      <c r="F246" s="49">
        <f>Source!AN168</f>
        <v>4.71</v>
      </c>
      <c r="G246" s="50">
        <f>Source!DF168</f>
      </c>
      <c r="H246" s="59">
        <f>ROUND(Source!AE168*Source!I168,1)</f>
        <v>0.1</v>
      </c>
      <c r="I246" s="50"/>
      <c r="J246" s="50">
        <f>IF(Source!BS168&lt;&gt;0,Source!BS168,1)</f>
        <v>19.96</v>
      </c>
      <c r="K246" s="59">
        <f>Source!R168</f>
        <v>2.8</v>
      </c>
      <c r="L246" s="52"/>
      <c r="R246" s="9">
        <f>H246</f>
        <v>0.1</v>
      </c>
    </row>
    <row r="247" spans="1:12" s="9" customFormat="1" ht="11.25">
      <c r="A247" s="45"/>
      <c r="B247" s="46"/>
      <c r="C247" s="46" t="s">
        <v>765</v>
      </c>
      <c r="D247" s="47"/>
      <c r="E247" s="48"/>
      <c r="F247" s="49">
        <f>Source!AL168</f>
        <v>285.6</v>
      </c>
      <c r="G247" s="50">
        <f>Source!DD168</f>
      </c>
      <c r="H247" s="51">
        <f>ROUND(Source!AC168*Source!I168,1)</f>
        <v>8.6</v>
      </c>
      <c r="I247" s="50"/>
      <c r="J247" s="50">
        <f>IF(Source!BC168&lt;&gt;0,Source!BC168,1)</f>
        <v>5.66</v>
      </c>
      <c r="K247" s="51">
        <f>Source!P168</f>
        <v>48.5</v>
      </c>
      <c r="L247" s="52"/>
    </row>
    <row r="248" spans="1:12" s="9" customFormat="1" ht="11.25">
      <c r="A248" s="45"/>
      <c r="B248" s="46"/>
      <c r="C248" s="46" t="s">
        <v>759</v>
      </c>
      <c r="D248" s="47" t="s">
        <v>760</v>
      </c>
      <c r="E248" s="48">
        <f>Source!BZ168</f>
        <v>105</v>
      </c>
      <c r="F248" s="53"/>
      <c r="G248" s="50"/>
      <c r="H248" s="51">
        <f>SUM(S243:S251)</f>
        <v>3.7</v>
      </c>
      <c r="I248" s="50" t="str">
        <f>CONCATENATE(Source!FX168,Source!FV168,"=")</f>
        <v>105*0,85=</v>
      </c>
      <c r="J248" s="13">
        <f>Source!AT168</f>
        <v>89</v>
      </c>
      <c r="K248" s="51">
        <f>SUM(T243:T251)</f>
        <v>62.2</v>
      </c>
      <c r="L248" s="52"/>
    </row>
    <row r="249" spans="1:12" s="9" customFormat="1" ht="11.25">
      <c r="A249" s="45"/>
      <c r="B249" s="46"/>
      <c r="C249" s="46" t="s">
        <v>761</v>
      </c>
      <c r="D249" s="47" t="s">
        <v>760</v>
      </c>
      <c r="E249" s="48">
        <f>Source!CA168</f>
        <v>65</v>
      </c>
      <c r="F249" s="53"/>
      <c r="G249" s="50"/>
      <c r="H249" s="51">
        <f>SUM(U243:U251)</f>
        <v>2.3</v>
      </c>
      <c r="I249" s="50" t="str">
        <f>CONCATENATE(Source!FY168,Source!FW168,"=")</f>
        <v>65*0,8=</v>
      </c>
      <c r="J249" s="13">
        <f>Source!AU168</f>
        <v>52</v>
      </c>
      <c r="K249" s="51">
        <f>SUM(V243:V251)</f>
        <v>36.3</v>
      </c>
      <c r="L249" s="52"/>
    </row>
    <row r="250" spans="1:12" s="9" customFormat="1" ht="11.25">
      <c r="A250" s="45"/>
      <c r="B250" s="46"/>
      <c r="C250" s="46" t="s">
        <v>762</v>
      </c>
      <c r="D250" s="47" t="s">
        <v>763</v>
      </c>
      <c r="E250" s="48">
        <f>Source!AQ168</f>
        <v>12.64</v>
      </c>
      <c r="F250" s="49"/>
      <c r="G250" s="50">
        <f>Source!DI168</f>
      </c>
      <c r="H250" s="51"/>
      <c r="I250" s="50"/>
      <c r="J250" s="50"/>
      <c r="K250" s="51"/>
      <c r="L250" s="65">
        <f>Source!U168</f>
        <v>0.3792</v>
      </c>
    </row>
    <row r="251" spans="1:26" s="9" customFormat="1" ht="78.75">
      <c r="A251" s="54" t="str">
        <f>Source!E169</f>
        <v>26,1</v>
      </c>
      <c r="B251" s="22" t="str">
        <f>Source!BJ169</f>
        <v>ФССЦ-2001, 08.4.03.02-0004, приказ Минстроя России №1039/пр от 30.12.2016г.</v>
      </c>
      <c r="C251" s="22" t="str">
        <f>Source!G169</f>
        <v>Горячекатаная арматурная сталь гладкая класса А-I, диаметром 12 мм</v>
      </c>
      <c r="D251" s="23" t="str">
        <f>Source!H169</f>
        <v>т</v>
      </c>
      <c r="E251" s="24">
        <f>Source!I169</f>
        <v>0.03</v>
      </c>
      <c r="F251" s="25">
        <f>Source!AL169+Source!AM169+Source!AO169</f>
        <v>6508.75</v>
      </c>
      <c r="G251" s="32" t="s">
        <v>3</v>
      </c>
      <c r="H251" s="27">
        <f>ROUND(Source!AC169*Source!I169,1)+ROUND(Source!AD169*Source!I169,1)+ROUND(Source!AF169*Source!I169,1)</f>
        <v>195.3</v>
      </c>
      <c r="I251" s="26"/>
      <c r="J251" s="26">
        <f>IF(Source!BC169&lt;&gt;0,Source!BC169,1)</f>
        <v>5.66</v>
      </c>
      <c r="K251" s="27">
        <f>Source!O169</f>
        <v>1105.2</v>
      </c>
      <c r="L251" s="57"/>
      <c r="S251" s="9">
        <f>ROUND((Source!FX169/100)*((ROUND(Source!AF169*Source!I169,1)+ROUND(Source!AE169*Source!I169,1))),1)</f>
        <v>0</v>
      </c>
      <c r="T251" s="9">
        <f>Source!X169</f>
        <v>0</v>
      </c>
      <c r="U251" s="9">
        <f>ROUND((Source!FY169/100)*((ROUND(Source!AF169*Source!I169,1)+ROUND(Source!AE169*Source!I169,1))),1)</f>
        <v>0</v>
      </c>
      <c r="V251" s="9">
        <f>Source!Y169</f>
        <v>0</v>
      </c>
      <c r="W251" s="9">
        <f>IF(Source!BI169&lt;=1,H251,0)</f>
        <v>195.3</v>
      </c>
      <c r="X251" s="9">
        <f>IF(Source!BI169=2,H251,0)</f>
        <v>0</v>
      </c>
      <c r="Y251" s="9">
        <f>IF(Source!BI169=3,H251,0)</f>
        <v>0</v>
      </c>
      <c r="Z251" s="9">
        <f>IF(Source!BI169=4,H251,0)</f>
        <v>0</v>
      </c>
    </row>
    <row r="252" spans="1:26" s="9" customFormat="1" ht="11.25">
      <c r="A252" s="43"/>
      <c r="B252" s="14"/>
      <c r="C252" s="14"/>
      <c r="D252" s="14"/>
      <c r="E252" s="14"/>
      <c r="F252" s="14"/>
      <c r="G252" s="87">
        <f>H244+H245+H247+H248+H249+SUM(H251:H251)</f>
        <v>214.3</v>
      </c>
      <c r="H252" s="87"/>
      <c r="I252" s="14"/>
      <c r="J252" s="87">
        <f>K244+K245+K247+K248+K249+SUM(K251:K251)</f>
        <v>1326.2</v>
      </c>
      <c r="K252" s="87"/>
      <c r="L252" s="56">
        <f>Source!U168</f>
        <v>0.3792</v>
      </c>
      <c r="O252" s="28">
        <f>G252</f>
        <v>214.3</v>
      </c>
      <c r="P252" s="28">
        <f>J252</f>
        <v>1326.2</v>
      </c>
      <c r="Q252" s="10">
        <f>L252</f>
        <v>0.3792</v>
      </c>
      <c r="W252" s="9">
        <f>IF(Source!BI168&lt;=1,H244+H245+H247+H248+H249,0)</f>
        <v>19</v>
      </c>
      <c r="X252" s="9">
        <f>IF(Source!BI168=2,H244+H245+H247+H248+H249,0)</f>
        <v>0</v>
      </c>
      <c r="Y252" s="9">
        <f>IF(Source!BI168=3,H244+H245+H247+H248+H249,0)</f>
        <v>0</v>
      </c>
      <c r="Z252" s="9">
        <f>IF(Source!BI168=4,H244+H245+H247+H248+H249,0)</f>
        <v>0</v>
      </c>
    </row>
    <row r="253" spans="1:22" s="9" customFormat="1" ht="78.75">
      <c r="A253" s="45" t="str">
        <f>Source!E170</f>
        <v>27</v>
      </c>
      <c r="B253" s="46" t="str">
        <f>Source!BJ170</f>
        <v>ФЕР-2001, 11-01-005-01, приказ Минстроя России №1039/пр от 30.12.2016г.</v>
      </c>
      <c r="C253" s="46" t="str">
        <f>Source!G170</f>
        <v>Устройство гидроизоляции из полиэтиленовой пленки 1 слой</v>
      </c>
      <c r="D253" s="47" t="str">
        <f>Source!H170</f>
        <v>100 м2</v>
      </c>
      <c r="E253" s="48">
        <f>Source!I170</f>
        <v>0.5</v>
      </c>
      <c r="F253" s="49">
        <f>Source!AL170+Source!AM170+Source!AO170</f>
        <v>4248.94</v>
      </c>
      <c r="G253" s="50"/>
      <c r="H253" s="51"/>
      <c r="I253" s="50" t="str">
        <f>Source!BO170</f>
        <v>РСЦ с 1.09.2017г.</v>
      </c>
      <c r="J253" s="50"/>
      <c r="K253" s="51"/>
      <c r="L253" s="52"/>
      <c r="S253" s="9">
        <f>ROUND((Source!FX170/100)*((ROUND(Source!AF170*Source!I170,1)+ROUND(Source!AE170*Source!I170,1))),1)</f>
        <v>994.2</v>
      </c>
      <c r="T253" s="9">
        <f>Source!X170</f>
        <v>16940.8</v>
      </c>
      <c r="U253" s="9">
        <f>ROUND((Source!FY170/100)*((ROUND(Source!AF170*Source!I170,1)+ROUND(Source!AE170*Source!I170,1))),1)</f>
        <v>606.2</v>
      </c>
      <c r="V253" s="9">
        <f>Source!Y170</f>
        <v>9680.5</v>
      </c>
    </row>
    <row r="254" spans="1:18" s="9" customFormat="1" ht="11.25">
      <c r="A254" s="45"/>
      <c r="B254" s="46"/>
      <c r="C254" s="46" t="s">
        <v>758</v>
      </c>
      <c r="D254" s="47"/>
      <c r="E254" s="48"/>
      <c r="F254" s="49">
        <f>Source!AO170</f>
        <v>1563.97</v>
      </c>
      <c r="G254" s="50">
        <f>Source!DG170</f>
      </c>
      <c r="H254" s="51">
        <f>ROUND(Source!AF170*Source!I170,1)</f>
        <v>782</v>
      </c>
      <c r="I254" s="50"/>
      <c r="J254" s="50">
        <f>IF(Source!BA170&lt;&gt;0,Source!BA170,1)</f>
        <v>19.96</v>
      </c>
      <c r="K254" s="51">
        <f>Source!S170</f>
        <v>15608.4</v>
      </c>
      <c r="L254" s="52"/>
      <c r="R254" s="9">
        <f>H254</f>
        <v>782</v>
      </c>
    </row>
    <row r="255" spans="1:12" s="9" customFormat="1" ht="11.25">
      <c r="A255" s="45"/>
      <c r="B255" s="46"/>
      <c r="C255" s="46" t="s">
        <v>71</v>
      </c>
      <c r="D255" s="47"/>
      <c r="E255" s="48"/>
      <c r="F255" s="49">
        <f>Source!AM170</f>
        <v>79.23</v>
      </c>
      <c r="G255" s="50">
        <f>Source!DE170</f>
      </c>
      <c r="H255" s="51">
        <f>ROUND(Source!AD170*Source!I170,1)</f>
        <v>39.6</v>
      </c>
      <c r="I255" s="50"/>
      <c r="J255" s="50">
        <f>IF(Source!BB170&lt;&gt;0,Source!BB170,1)</f>
        <v>7.11</v>
      </c>
      <c r="K255" s="51">
        <f>Source!Q170</f>
        <v>281.7</v>
      </c>
      <c r="L255" s="52"/>
    </row>
    <row r="256" spans="1:18" s="9" customFormat="1" ht="11.25">
      <c r="A256" s="45"/>
      <c r="B256" s="46"/>
      <c r="C256" s="46" t="s">
        <v>764</v>
      </c>
      <c r="D256" s="47"/>
      <c r="E256" s="48"/>
      <c r="F256" s="49">
        <f>Source!AN170</f>
        <v>52.68</v>
      </c>
      <c r="G256" s="50">
        <f>Source!DF170</f>
      </c>
      <c r="H256" s="59">
        <f>ROUND(Source!AE170*Source!I170,1)</f>
        <v>26.3</v>
      </c>
      <c r="I256" s="50"/>
      <c r="J256" s="50">
        <f>IF(Source!BS170&lt;&gt;0,Source!BS170,1)</f>
        <v>19.96</v>
      </c>
      <c r="K256" s="59">
        <f>Source!R170</f>
        <v>525.7</v>
      </c>
      <c r="L256" s="52"/>
      <c r="R256" s="9">
        <f>H256</f>
        <v>26.3</v>
      </c>
    </row>
    <row r="257" spans="1:12" s="9" customFormat="1" ht="11.25">
      <c r="A257" s="45"/>
      <c r="B257" s="46"/>
      <c r="C257" s="46" t="s">
        <v>765</v>
      </c>
      <c r="D257" s="47"/>
      <c r="E257" s="48"/>
      <c r="F257" s="49">
        <f>Source!AL170</f>
        <v>2605.74</v>
      </c>
      <c r="G257" s="50">
        <f>Source!DD170</f>
      </c>
      <c r="H257" s="51">
        <f>ROUND(Source!AC170*Source!I170,1)</f>
        <v>1302.9</v>
      </c>
      <c r="I257" s="50"/>
      <c r="J257" s="50">
        <f>IF(Source!BC170&lt;&gt;0,Source!BC170,1)</f>
        <v>5.66</v>
      </c>
      <c r="K257" s="51">
        <f>Source!P170</f>
        <v>7374.2</v>
      </c>
      <c r="L257" s="52"/>
    </row>
    <row r="258" spans="1:12" s="9" customFormat="1" ht="11.25">
      <c r="A258" s="45"/>
      <c r="B258" s="46"/>
      <c r="C258" s="46" t="s">
        <v>759</v>
      </c>
      <c r="D258" s="47" t="s">
        <v>760</v>
      </c>
      <c r="E258" s="48">
        <f>Source!BZ170</f>
        <v>123</v>
      </c>
      <c r="F258" s="53"/>
      <c r="G258" s="50"/>
      <c r="H258" s="51">
        <f>SUM(S253:S260)</f>
        <v>994.2</v>
      </c>
      <c r="I258" s="50" t="str">
        <f>CONCATENATE(Source!FX170,Source!FV170,"=")</f>
        <v>123*0,85=</v>
      </c>
      <c r="J258" s="13">
        <f>Source!AT170</f>
        <v>105</v>
      </c>
      <c r="K258" s="51">
        <f>SUM(T253:T260)</f>
        <v>16940.8</v>
      </c>
      <c r="L258" s="52"/>
    </row>
    <row r="259" spans="1:12" s="9" customFormat="1" ht="11.25">
      <c r="A259" s="45"/>
      <c r="B259" s="46"/>
      <c r="C259" s="46" t="s">
        <v>761</v>
      </c>
      <c r="D259" s="47" t="s">
        <v>760</v>
      </c>
      <c r="E259" s="48">
        <f>Source!CA170</f>
        <v>75</v>
      </c>
      <c r="F259" s="53"/>
      <c r="G259" s="50"/>
      <c r="H259" s="51">
        <f>SUM(U253:U260)</f>
        <v>606.2</v>
      </c>
      <c r="I259" s="50" t="str">
        <f>CONCATENATE(Source!FY170,Source!FW170,"=")</f>
        <v>75*0,8=</v>
      </c>
      <c r="J259" s="13">
        <f>Source!AU170</f>
        <v>60</v>
      </c>
      <c r="K259" s="51">
        <f>SUM(V253:V260)</f>
        <v>9680.5</v>
      </c>
      <c r="L259" s="52"/>
    </row>
    <row r="260" spans="1:12" s="9" customFormat="1" ht="11.25">
      <c r="A260" s="54"/>
      <c r="B260" s="22"/>
      <c r="C260" s="22" t="s">
        <v>762</v>
      </c>
      <c r="D260" s="23" t="s">
        <v>763</v>
      </c>
      <c r="E260" s="24">
        <f>Source!AQ170</f>
        <v>153.18</v>
      </c>
      <c r="F260" s="25"/>
      <c r="G260" s="26">
        <f>Source!DI170</f>
      </c>
      <c r="H260" s="27"/>
      <c r="I260" s="26"/>
      <c r="J260" s="26"/>
      <c r="K260" s="27"/>
      <c r="L260" s="55">
        <f>Source!U170</f>
        <v>76.59</v>
      </c>
    </row>
    <row r="261" spans="1:26" s="9" customFormat="1" ht="11.25">
      <c r="A261" s="43"/>
      <c r="B261" s="14"/>
      <c r="C261" s="14"/>
      <c r="D261" s="14"/>
      <c r="E261" s="14"/>
      <c r="F261" s="14"/>
      <c r="G261" s="87">
        <f>H254+H255+H257+H258+H259</f>
        <v>3724.8999999999996</v>
      </c>
      <c r="H261" s="87"/>
      <c r="I261" s="14"/>
      <c r="J261" s="87">
        <f>K254+K255+K257+K258+K259</f>
        <v>49885.6</v>
      </c>
      <c r="K261" s="87"/>
      <c r="L261" s="56">
        <f>Source!U170</f>
        <v>76.59</v>
      </c>
      <c r="O261" s="28">
        <f>G261</f>
        <v>3724.8999999999996</v>
      </c>
      <c r="P261" s="28">
        <f>J261</f>
        <v>49885.6</v>
      </c>
      <c r="Q261" s="10">
        <f>L261</f>
        <v>76.59</v>
      </c>
      <c r="W261" s="9">
        <f>IF(Source!BI170&lt;=1,H254+H255+H257+H258+H259,0)</f>
        <v>3724.8999999999996</v>
      </c>
      <c r="X261" s="9">
        <f>IF(Source!BI170=2,H254+H255+H257+H258+H259,0)</f>
        <v>0</v>
      </c>
      <c r="Y261" s="9">
        <f>IF(Source!BI170=3,H254+H255+H257+H258+H259,0)</f>
        <v>0</v>
      </c>
      <c r="Z261" s="9">
        <f>IF(Source!BI170=4,H254+H255+H257+H258+H259,0)</f>
        <v>0</v>
      </c>
    </row>
    <row r="262" spans="1:22" s="9" customFormat="1" ht="78.75">
      <c r="A262" s="45" t="str">
        <f>Source!E171</f>
        <v>28</v>
      </c>
      <c r="B262" s="46" t="str">
        <f>Source!BJ171</f>
        <v>ФЕР-2001, 08-01-003-07, приказ Минстроя России №1039/пр от 30.12.2016г.</v>
      </c>
      <c r="C262" s="46" t="str">
        <f>Source!G171</f>
        <v>Гидроизоляция боковая обмазочная битумная в 2 слоя по выровненной поверхности бутовой кладки, кирпичу, бетону</v>
      </c>
      <c r="D262" s="47" t="str">
        <f>Source!H171</f>
        <v>100 м2</v>
      </c>
      <c r="E262" s="48">
        <f>Source!I171</f>
        <v>1.7</v>
      </c>
      <c r="F262" s="49">
        <f>Source!AL171+Source!AM171+Source!AO171</f>
        <v>1171.73</v>
      </c>
      <c r="G262" s="50"/>
      <c r="H262" s="51"/>
      <c r="I262" s="50" t="str">
        <f>Source!BO171</f>
        <v>РСЦ с 1.09.2017г.</v>
      </c>
      <c r="J262" s="50"/>
      <c r="K262" s="51"/>
      <c r="L262" s="52"/>
      <c r="S262" s="9">
        <f>ROUND((Source!FX171/100)*((ROUND(Source!AF171*Source!I171,1)+ROUND(Source!AE171*Source!I171,1))),1)</f>
        <v>422.9</v>
      </c>
      <c r="T262" s="9">
        <f>Source!X171</f>
        <v>7196.5</v>
      </c>
      <c r="U262" s="9">
        <f>ROUND((Source!FY171/100)*((ROUND(Source!AF171*Source!I171,1)+ROUND(Source!AE171*Source!I171,1))),1)</f>
        <v>277.3</v>
      </c>
      <c r="V262" s="9">
        <f>Source!Y171</f>
        <v>4428.6</v>
      </c>
    </row>
    <row r="263" spans="1:18" s="9" customFormat="1" ht="11.25">
      <c r="A263" s="45"/>
      <c r="B263" s="46"/>
      <c r="C263" s="46" t="s">
        <v>758</v>
      </c>
      <c r="D263" s="47"/>
      <c r="E263" s="48"/>
      <c r="F263" s="49">
        <f>Source!AO171</f>
        <v>201.61</v>
      </c>
      <c r="G263" s="50">
        <f>Source!DG171</f>
      </c>
      <c r="H263" s="51">
        <f>ROUND(Source!AF171*Source!I171,1)</f>
        <v>342.7</v>
      </c>
      <c r="I263" s="50"/>
      <c r="J263" s="50">
        <f>IF(Source!BA171&lt;&gt;0,Source!BA171,1)</f>
        <v>19.96</v>
      </c>
      <c r="K263" s="51">
        <f>Source!S171</f>
        <v>6841</v>
      </c>
      <c r="L263" s="52"/>
      <c r="R263" s="9">
        <f>H263</f>
        <v>342.7</v>
      </c>
    </row>
    <row r="264" spans="1:12" s="9" customFormat="1" ht="11.25">
      <c r="A264" s="45"/>
      <c r="B264" s="46"/>
      <c r="C264" s="46" t="s">
        <v>71</v>
      </c>
      <c r="D264" s="47"/>
      <c r="E264" s="48"/>
      <c r="F264" s="49">
        <f>Source!AM171</f>
        <v>71.64</v>
      </c>
      <c r="G264" s="50">
        <f>Source!DE171</f>
      </c>
      <c r="H264" s="51">
        <f>ROUND(Source!AD171*Source!I171,1)</f>
        <v>121.8</v>
      </c>
      <c r="I264" s="50"/>
      <c r="J264" s="50">
        <f>IF(Source!BB171&lt;&gt;0,Source!BB171,1)</f>
        <v>7.11</v>
      </c>
      <c r="K264" s="51">
        <f>Source!Q171</f>
        <v>865.9</v>
      </c>
      <c r="L264" s="52"/>
    </row>
    <row r="265" spans="1:18" s="9" customFormat="1" ht="11.25">
      <c r="A265" s="45"/>
      <c r="B265" s="46"/>
      <c r="C265" s="46" t="s">
        <v>764</v>
      </c>
      <c r="D265" s="47"/>
      <c r="E265" s="48"/>
      <c r="F265" s="49">
        <f>Source!AN171</f>
        <v>2.32</v>
      </c>
      <c r="G265" s="50">
        <f>Source!DF171</f>
      </c>
      <c r="H265" s="59">
        <f>ROUND(Source!AE171*Source!I171,1)</f>
        <v>3.9</v>
      </c>
      <c r="I265" s="50"/>
      <c r="J265" s="50">
        <f>IF(Source!BS171&lt;&gt;0,Source!BS171,1)</f>
        <v>19.96</v>
      </c>
      <c r="K265" s="59">
        <f>Source!R171</f>
        <v>78.7</v>
      </c>
      <c r="L265" s="52"/>
      <c r="R265" s="9">
        <f>H265</f>
        <v>3.9</v>
      </c>
    </row>
    <row r="266" spans="1:12" s="9" customFormat="1" ht="11.25">
      <c r="A266" s="45"/>
      <c r="B266" s="46"/>
      <c r="C266" s="46" t="s">
        <v>765</v>
      </c>
      <c r="D266" s="47"/>
      <c r="E266" s="48"/>
      <c r="F266" s="49">
        <f>Source!AL171</f>
        <v>898.48</v>
      </c>
      <c r="G266" s="50">
        <f>Source!DD171</f>
      </c>
      <c r="H266" s="51">
        <f>ROUND(Source!AC171*Source!I171,1)</f>
        <v>1527.4</v>
      </c>
      <c r="I266" s="50"/>
      <c r="J266" s="50">
        <f>IF(Source!BC171&lt;&gt;0,Source!BC171,1)</f>
        <v>5.66</v>
      </c>
      <c r="K266" s="51">
        <f>Source!P171</f>
        <v>8645.2</v>
      </c>
      <c r="L266" s="52"/>
    </row>
    <row r="267" spans="1:12" s="9" customFormat="1" ht="11.25">
      <c r="A267" s="45"/>
      <c r="B267" s="46"/>
      <c r="C267" s="46" t="s">
        <v>759</v>
      </c>
      <c r="D267" s="47" t="s">
        <v>760</v>
      </c>
      <c r="E267" s="48">
        <f>Source!BZ171</f>
        <v>122</v>
      </c>
      <c r="F267" s="53"/>
      <c r="G267" s="50"/>
      <c r="H267" s="51">
        <f>SUM(S262:S269)</f>
        <v>422.9</v>
      </c>
      <c r="I267" s="50" t="str">
        <f>CONCATENATE(Source!FX171,Source!FV171,"=")</f>
        <v>122*0,85=</v>
      </c>
      <c r="J267" s="13">
        <f>Source!AT171</f>
        <v>104</v>
      </c>
      <c r="K267" s="51">
        <f>SUM(T262:T269)</f>
        <v>7196.5</v>
      </c>
      <c r="L267" s="52"/>
    </row>
    <row r="268" spans="1:12" s="9" customFormat="1" ht="11.25">
      <c r="A268" s="45"/>
      <c r="B268" s="46"/>
      <c r="C268" s="46" t="s">
        <v>761</v>
      </c>
      <c r="D268" s="47" t="s">
        <v>760</v>
      </c>
      <c r="E268" s="48">
        <f>Source!CA171</f>
        <v>80</v>
      </c>
      <c r="F268" s="53"/>
      <c r="G268" s="50"/>
      <c r="H268" s="51">
        <f>SUM(U262:U269)</f>
        <v>277.3</v>
      </c>
      <c r="I268" s="50" t="str">
        <f>CONCATENATE(Source!FY171,Source!FW171,"=")</f>
        <v>80*0,8=</v>
      </c>
      <c r="J268" s="13">
        <f>Source!AU171</f>
        <v>64</v>
      </c>
      <c r="K268" s="51">
        <f>SUM(V262:V269)</f>
        <v>4428.6</v>
      </c>
      <c r="L268" s="52"/>
    </row>
    <row r="269" spans="1:12" s="9" customFormat="1" ht="11.25">
      <c r="A269" s="54"/>
      <c r="B269" s="22"/>
      <c r="C269" s="22" t="s">
        <v>762</v>
      </c>
      <c r="D269" s="23" t="s">
        <v>763</v>
      </c>
      <c r="E269" s="24">
        <f>Source!AQ171</f>
        <v>21.2</v>
      </c>
      <c r="F269" s="25"/>
      <c r="G269" s="26">
        <f>Source!DI171</f>
      </c>
      <c r="H269" s="27"/>
      <c r="I269" s="26"/>
      <c r="J269" s="26"/>
      <c r="K269" s="27"/>
      <c r="L269" s="55">
        <f>Source!U171</f>
        <v>36.04</v>
      </c>
    </row>
    <row r="270" spans="1:26" s="9" customFormat="1" ht="11.25">
      <c r="A270" s="43"/>
      <c r="B270" s="14"/>
      <c r="C270" s="14"/>
      <c r="D270" s="14"/>
      <c r="E270" s="14"/>
      <c r="F270" s="14"/>
      <c r="G270" s="87">
        <f>H263+H264+H266+H267+H268</f>
        <v>2692.1000000000004</v>
      </c>
      <c r="H270" s="87"/>
      <c r="I270" s="14"/>
      <c r="J270" s="87">
        <f>K263+K264+K266+K267+K268</f>
        <v>27977.199999999997</v>
      </c>
      <c r="K270" s="87"/>
      <c r="L270" s="56">
        <f>Source!U171</f>
        <v>36.04</v>
      </c>
      <c r="O270" s="28">
        <f>G270</f>
        <v>2692.1000000000004</v>
      </c>
      <c r="P270" s="28">
        <f>J270</f>
        <v>27977.199999999997</v>
      </c>
      <c r="Q270" s="10">
        <f>L270</f>
        <v>36.04</v>
      </c>
      <c r="W270" s="9">
        <f>IF(Source!BI171&lt;=1,H263+H264+H266+H267+H268,0)</f>
        <v>2692.1000000000004</v>
      </c>
      <c r="X270" s="9">
        <f>IF(Source!BI171=2,H263+H264+H266+H267+H268,0)</f>
        <v>0</v>
      </c>
      <c r="Y270" s="9">
        <f>IF(Source!BI171=3,H263+H264+H266+H267+H268,0)</f>
        <v>0</v>
      </c>
      <c r="Z270" s="9">
        <f>IF(Source!BI171=4,H263+H264+H266+H267+H268,0)</f>
        <v>0</v>
      </c>
    </row>
    <row r="271" spans="1:12" s="9" customFormat="1" ht="11.25">
      <c r="A271" s="4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44"/>
    </row>
    <row r="272" spans="1:12" s="9" customFormat="1" ht="11.25">
      <c r="A272" s="43"/>
      <c r="B272" s="97" t="str">
        <f>Source!G172</f>
        <v>Бетонная отмостка КТП</v>
      </c>
      <c r="C272" s="97"/>
      <c r="D272" s="97"/>
      <c r="E272" s="97"/>
      <c r="F272" s="97"/>
      <c r="G272" s="97"/>
      <c r="H272" s="97"/>
      <c r="I272" s="97"/>
      <c r="J272" s="97"/>
      <c r="K272" s="97"/>
      <c r="L272" s="44"/>
    </row>
    <row r="273" spans="1:22" s="9" customFormat="1" ht="78.75">
      <c r="A273" s="45" t="str">
        <f>Source!E173</f>
        <v>29</v>
      </c>
      <c r="B273" s="46" t="str">
        <f>Source!BJ173</f>
        <v>ФЕР-2001, 06-01-001-01, приказ Минстроя России №1039/пр от 30.12.2016г.</v>
      </c>
      <c r="C273" s="46" t="str">
        <f>Source!G173</f>
        <v>Устройство бетонной отмостки</v>
      </c>
      <c r="D273" s="47" t="str">
        <f>Source!H173</f>
        <v>100 м3</v>
      </c>
      <c r="E273" s="48">
        <f>Source!I173</f>
        <v>0.03</v>
      </c>
      <c r="F273" s="49">
        <f>Source!AL173+Source!AM173+Source!AO173</f>
        <v>3897.23</v>
      </c>
      <c r="G273" s="50"/>
      <c r="H273" s="51"/>
      <c r="I273" s="50" t="str">
        <f>Source!BO173</f>
        <v>РСЦ с 1.09.2017г.</v>
      </c>
      <c r="J273" s="50"/>
      <c r="K273" s="51"/>
      <c r="L273" s="52"/>
      <c r="S273" s="9">
        <f>ROUND((Source!FX173/100)*((ROUND(Source!AF173*Source!I173,1)+ROUND(Source!AE173*Source!I173,1))),1)</f>
        <v>51.9</v>
      </c>
      <c r="T273" s="9">
        <f>Source!X173</f>
        <v>878.5</v>
      </c>
      <c r="U273" s="9">
        <f>ROUND((Source!FY173/100)*((ROUND(Source!AF173*Source!I173,1)+ROUND(Source!AE173*Source!I173,1))),1)</f>
        <v>32.1</v>
      </c>
      <c r="V273" s="9">
        <f>Source!Y173</f>
        <v>513.3</v>
      </c>
    </row>
    <row r="274" spans="1:18" s="9" customFormat="1" ht="11.25">
      <c r="A274" s="45"/>
      <c r="B274" s="46"/>
      <c r="C274" s="46" t="s">
        <v>758</v>
      </c>
      <c r="D274" s="47"/>
      <c r="E274" s="48"/>
      <c r="F274" s="49">
        <f>Source!AO173</f>
        <v>1404</v>
      </c>
      <c r="G274" s="50">
        <f>Source!DG173</f>
      </c>
      <c r="H274" s="51">
        <f>ROUND(Source!AF173*Source!I173,1)</f>
        <v>42.1</v>
      </c>
      <c r="I274" s="50"/>
      <c r="J274" s="50">
        <f>IF(Source!BA173&lt;&gt;0,Source!BA173,1)</f>
        <v>19.96</v>
      </c>
      <c r="K274" s="51">
        <f>Source!S173</f>
        <v>840.7</v>
      </c>
      <c r="L274" s="52"/>
      <c r="R274" s="9">
        <f>H274</f>
        <v>42.1</v>
      </c>
    </row>
    <row r="275" spans="1:12" s="9" customFormat="1" ht="11.25">
      <c r="A275" s="45"/>
      <c r="B275" s="46"/>
      <c r="C275" s="46" t="s">
        <v>71</v>
      </c>
      <c r="D275" s="47"/>
      <c r="E275" s="48"/>
      <c r="F275" s="49">
        <f>Source!AM173</f>
        <v>1587.74</v>
      </c>
      <c r="G275" s="50">
        <f>Source!DE173</f>
      </c>
      <c r="H275" s="51">
        <f>ROUND(Source!AD173*Source!I173,1)</f>
        <v>47.6</v>
      </c>
      <c r="I275" s="50"/>
      <c r="J275" s="50">
        <f>IF(Source!BB173&lt;&gt;0,Source!BB173,1)</f>
        <v>7.11</v>
      </c>
      <c r="K275" s="51">
        <f>Source!Q173</f>
        <v>338.7</v>
      </c>
      <c r="L275" s="52"/>
    </row>
    <row r="276" spans="1:18" s="9" customFormat="1" ht="11.25">
      <c r="A276" s="45"/>
      <c r="B276" s="46"/>
      <c r="C276" s="46" t="s">
        <v>764</v>
      </c>
      <c r="D276" s="47"/>
      <c r="E276" s="48"/>
      <c r="F276" s="49">
        <f>Source!AN173</f>
        <v>244.51</v>
      </c>
      <c r="G276" s="50">
        <f>Source!DF173</f>
      </c>
      <c r="H276" s="59">
        <f>ROUND(Source!AE173*Source!I173,1)</f>
        <v>7.3</v>
      </c>
      <c r="I276" s="50"/>
      <c r="J276" s="50">
        <f>IF(Source!BS173&lt;&gt;0,Source!BS173,1)</f>
        <v>19.96</v>
      </c>
      <c r="K276" s="59">
        <f>Source!R173</f>
        <v>146.4</v>
      </c>
      <c r="L276" s="52"/>
      <c r="R276" s="9">
        <f>H276</f>
        <v>7.3</v>
      </c>
    </row>
    <row r="277" spans="1:12" s="9" customFormat="1" ht="11.25">
      <c r="A277" s="45"/>
      <c r="B277" s="46"/>
      <c r="C277" s="46" t="s">
        <v>765</v>
      </c>
      <c r="D277" s="47"/>
      <c r="E277" s="48"/>
      <c r="F277" s="49">
        <f>Source!AL173</f>
        <v>905.49</v>
      </c>
      <c r="G277" s="50">
        <f>Source!DD173</f>
      </c>
      <c r="H277" s="51">
        <f>ROUND(Source!AC173*Source!I173,1)</f>
        <v>27.2</v>
      </c>
      <c r="I277" s="50"/>
      <c r="J277" s="50">
        <f>IF(Source!BC173&lt;&gt;0,Source!BC173,1)</f>
        <v>5.66</v>
      </c>
      <c r="K277" s="51">
        <f>Source!P173</f>
        <v>153.8</v>
      </c>
      <c r="L277" s="52"/>
    </row>
    <row r="278" spans="1:12" s="9" customFormat="1" ht="11.25">
      <c r="A278" s="45"/>
      <c r="B278" s="46"/>
      <c r="C278" s="46" t="s">
        <v>759</v>
      </c>
      <c r="D278" s="47" t="s">
        <v>760</v>
      </c>
      <c r="E278" s="48">
        <f>Source!BZ173</f>
        <v>105</v>
      </c>
      <c r="F278" s="53"/>
      <c r="G278" s="50"/>
      <c r="H278" s="51">
        <f>SUM(S273:S281)</f>
        <v>51.9</v>
      </c>
      <c r="I278" s="50" t="str">
        <f>CONCATENATE(Source!FX173,Source!FV173,"=")</f>
        <v>105*0,85=</v>
      </c>
      <c r="J278" s="13">
        <f>Source!AT173</f>
        <v>89</v>
      </c>
      <c r="K278" s="51">
        <f>SUM(T273:T281)</f>
        <v>878.5</v>
      </c>
      <c r="L278" s="52"/>
    </row>
    <row r="279" spans="1:12" s="9" customFormat="1" ht="11.25">
      <c r="A279" s="45"/>
      <c r="B279" s="46"/>
      <c r="C279" s="46" t="s">
        <v>761</v>
      </c>
      <c r="D279" s="47" t="s">
        <v>760</v>
      </c>
      <c r="E279" s="48">
        <f>Source!CA173</f>
        <v>65</v>
      </c>
      <c r="F279" s="53"/>
      <c r="G279" s="50"/>
      <c r="H279" s="51">
        <f>SUM(U273:U281)</f>
        <v>32.1</v>
      </c>
      <c r="I279" s="50" t="str">
        <f>CONCATENATE(Source!FY173,Source!FW173,"=")</f>
        <v>65*0,8=</v>
      </c>
      <c r="J279" s="13">
        <f>Source!AU173</f>
        <v>52</v>
      </c>
      <c r="K279" s="51">
        <f>SUM(V273:V281)</f>
        <v>513.3</v>
      </c>
      <c r="L279" s="52"/>
    </row>
    <row r="280" spans="1:12" s="9" customFormat="1" ht="11.25">
      <c r="A280" s="45"/>
      <c r="B280" s="46"/>
      <c r="C280" s="46" t="s">
        <v>762</v>
      </c>
      <c r="D280" s="47" t="s">
        <v>763</v>
      </c>
      <c r="E280" s="48">
        <f>Source!AQ173</f>
        <v>180</v>
      </c>
      <c r="F280" s="49"/>
      <c r="G280" s="50">
        <f>Source!DI173</f>
      </c>
      <c r="H280" s="51"/>
      <c r="I280" s="50"/>
      <c r="J280" s="50"/>
      <c r="K280" s="51"/>
      <c r="L280" s="65">
        <f>Source!U173</f>
        <v>5.3999999999999995</v>
      </c>
    </row>
    <row r="281" spans="1:26" s="9" customFormat="1" ht="78.75">
      <c r="A281" s="54" t="str">
        <f>Source!E174</f>
        <v>29,1</v>
      </c>
      <c r="B281" s="22" t="str">
        <f>Source!BJ174</f>
        <v>ФССЦ-2001, 04.1.02.05-0026, приказ Минстроя России №1039/пр от 30.12.2016г.</v>
      </c>
      <c r="C281" s="22" t="str">
        <f>Source!G174</f>
        <v>Бетон тяжелый, крупность заполнителя 10 мм, класс В15 (М200)</v>
      </c>
      <c r="D281" s="23" t="str">
        <f>Source!H174</f>
        <v>м3</v>
      </c>
      <c r="E281" s="24">
        <f>Source!I174</f>
        <v>3.06</v>
      </c>
      <c r="F281" s="25">
        <f>Source!AL174+Source!AM174+Source!AO174</f>
        <v>665</v>
      </c>
      <c r="G281" s="32" t="s">
        <v>3</v>
      </c>
      <c r="H281" s="27">
        <f>ROUND(Source!AC174*Source!I174,1)+ROUND(Source!AD174*Source!I174,1)+ROUND(Source!AF174*Source!I174,1)</f>
        <v>2034.9</v>
      </c>
      <c r="I281" s="26"/>
      <c r="J281" s="26">
        <f>IF(Source!BC174&lt;&gt;0,Source!BC174,1)</f>
        <v>5.66</v>
      </c>
      <c r="K281" s="27">
        <f>Source!O174</f>
        <v>11517.5</v>
      </c>
      <c r="L281" s="57"/>
      <c r="S281" s="9">
        <f>ROUND((Source!FX174/100)*((ROUND(Source!AF174*Source!I174,1)+ROUND(Source!AE174*Source!I174,1))),1)</f>
        <v>0</v>
      </c>
      <c r="T281" s="9">
        <f>Source!X174</f>
        <v>0</v>
      </c>
      <c r="U281" s="9">
        <f>ROUND((Source!FY174/100)*((ROUND(Source!AF174*Source!I174,1)+ROUND(Source!AE174*Source!I174,1))),1)</f>
        <v>0</v>
      </c>
      <c r="V281" s="9">
        <f>Source!Y174</f>
        <v>0</v>
      </c>
      <c r="W281" s="9">
        <f>IF(Source!BI174&lt;=1,H281,0)</f>
        <v>2034.9</v>
      </c>
      <c r="X281" s="9">
        <f>IF(Source!BI174=2,H281,0)</f>
        <v>0</v>
      </c>
      <c r="Y281" s="9">
        <f>IF(Source!BI174=3,H281,0)</f>
        <v>0</v>
      </c>
      <c r="Z281" s="9">
        <f>IF(Source!BI174=4,H281,0)</f>
        <v>0</v>
      </c>
    </row>
    <row r="282" spans="1:26" s="9" customFormat="1" ht="11.25">
      <c r="A282" s="43"/>
      <c r="B282" s="14"/>
      <c r="C282" s="14"/>
      <c r="D282" s="14"/>
      <c r="E282" s="14"/>
      <c r="F282" s="14"/>
      <c r="G282" s="87">
        <f>H274+H275+H277+H278+H279+SUM(H281:H281)</f>
        <v>2235.8</v>
      </c>
      <c r="H282" s="87"/>
      <c r="I282" s="14"/>
      <c r="J282" s="87">
        <f>K274+K275+K277+K278+K279+SUM(K281:K281)</f>
        <v>14242.5</v>
      </c>
      <c r="K282" s="87"/>
      <c r="L282" s="56">
        <f>Source!U173</f>
        <v>5.3999999999999995</v>
      </c>
      <c r="O282" s="28">
        <f>G282</f>
        <v>2235.8</v>
      </c>
      <c r="P282" s="28">
        <f>J282</f>
        <v>14242.5</v>
      </c>
      <c r="Q282" s="10">
        <f>L282</f>
        <v>5.3999999999999995</v>
      </c>
      <c r="W282" s="9">
        <f>IF(Source!BI173&lt;=1,H274+H275+H277+H278+H279,0)</f>
        <v>200.9</v>
      </c>
      <c r="X282" s="9">
        <f>IF(Source!BI173=2,H274+H275+H277+H278+H279,0)</f>
        <v>0</v>
      </c>
      <c r="Y282" s="9">
        <f>IF(Source!BI173=3,H274+H275+H277+H278+H279,0)</f>
        <v>0</v>
      </c>
      <c r="Z282" s="9">
        <f>IF(Source!BI173=4,H274+H275+H277+H278+H279,0)</f>
        <v>0</v>
      </c>
    </row>
    <row r="283" spans="1:12" s="9" customFormat="1" ht="11.25">
      <c r="A283" s="4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44"/>
    </row>
    <row r="284" spans="1:12" s="9" customFormat="1" ht="11.25">
      <c r="A284" s="43"/>
      <c r="B284" s="97" t="str">
        <f>Source!G175</f>
        <v>Подъезд к КТП на площади  ~15м2</v>
      </c>
      <c r="C284" s="97"/>
      <c r="D284" s="97"/>
      <c r="E284" s="97"/>
      <c r="F284" s="97"/>
      <c r="G284" s="97"/>
      <c r="H284" s="97"/>
      <c r="I284" s="97"/>
      <c r="J284" s="97"/>
      <c r="K284" s="97"/>
      <c r="L284" s="44"/>
    </row>
    <row r="285" spans="1:22" s="9" customFormat="1" ht="78.75">
      <c r="A285" s="45" t="str">
        <f>Source!E176</f>
        <v>30</v>
      </c>
      <c r="B285" s="46" t="str">
        <f>Source!BJ176</f>
        <v>ФЕР-2001, 27-04-001-01, приказ Минстроя России №1039/пр от 30.12.2016г.</v>
      </c>
      <c r="C285" s="46" t="str">
        <f>Source!G176</f>
        <v>Устройство подстилающих и выравнивающих слоев оснований из песка</v>
      </c>
      <c r="D285" s="47" t="str">
        <f>Source!H176</f>
        <v>100 м3</v>
      </c>
      <c r="E285" s="48">
        <f>Source!I176</f>
        <v>0.03</v>
      </c>
      <c r="F285" s="49">
        <f>Source!AL176+Source!AM176+Source!AO176</f>
        <v>2281.99</v>
      </c>
      <c r="G285" s="50"/>
      <c r="H285" s="51"/>
      <c r="I285" s="50" t="str">
        <f>Source!BO176</f>
        <v>РСЦ с 1.09.2017г.</v>
      </c>
      <c r="J285" s="50"/>
      <c r="K285" s="51"/>
      <c r="L285" s="52"/>
      <c r="S285" s="9">
        <f>ROUND((Source!FX176/100)*((ROUND(Source!AF176*Source!I176,1)+ROUND(Source!AE176*Source!I176,1))),1)</f>
        <v>12.9</v>
      </c>
      <c r="T285" s="9">
        <f>Source!X176</f>
        <v>220</v>
      </c>
      <c r="U285" s="9">
        <f>ROUND((Source!FY176/100)*((ROUND(Source!AF176*Source!I176,1)+ROUND(Source!AE176*Source!I176,1))),1)</f>
        <v>8.6</v>
      </c>
      <c r="V285" s="9">
        <f>Source!Y176</f>
        <v>138.2</v>
      </c>
    </row>
    <row r="286" spans="1:18" s="9" customFormat="1" ht="11.25">
      <c r="A286" s="45"/>
      <c r="B286" s="46"/>
      <c r="C286" s="46" t="s">
        <v>758</v>
      </c>
      <c r="D286" s="47"/>
      <c r="E286" s="48"/>
      <c r="F286" s="49">
        <f>Source!AO176</f>
        <v>126.07</v>
      </c>
      <c r="G286" s="50">
        <f>Source!DG176</f>
      </c>
      <c r="H286" s="51">
        <f>ROUND(Source!AF176*Source!I176,1)</f>
        <v>3.8</v>
      </c>
      <c r="I286" s="50"/>
      <c r="J286" s="50">
        <f>IF(Source!BA176&lt;&gt;0,Source!BA176,1)</f>
        <v>19.96</v>
      </c>
      <c r="K286" s="51">
        <f>Source!S176</f>
        <v>75.5</v>
      </c>
      <c r="L286" s="52"/>
      <c r="R286" s="9">
        <f>H286</f>
        <v>3.8</v>
      </c>
    </row>
    <row r="287" spans="1:12" s="9" customFormat="1" ht="11.25">
      <c r="A287" s="45"/>
      <c r="B287" s="46"/>
      <c r="C287" s="46" t="s">
        <v>71</v>
      </c>
      <c r="D287" s="47"/>
      <c r="E287" s="48"/>
      <c r="F287" s="49">
        <f>Source!AM176</f>
        <v>2143.72</v>
      </c>
      <c r="G287" s="50">
        <f>Source!DE176</f>
      </c>
      <c r="H287" s="51">
        <f>ROUND(Source!AD176*Source!I176,1)</f>
        <v>64.3</v>
      </c>
      <c r="I287" s="50"/>
      <c r="J287" s="50">
        <f>IF(Source!BB176&lt;&gt;0,Source!BB176,1)</f>
        <v>7.11</v>
      </c>
      <c r="K287" s="51">
        <f>Source!Q176</f>
        <v>457.3</v>
      </c>
      <c r="L287" s="52"/>
    </row>
    <row r="288" spans="1:18" s="9" customFormat="1" ht="11.25">
      <c r="A288" s="45"/>
      <c r="B288" s="46"/>
      <c r="C288" s="46" t="s">
        <v>764</v>
      </c>
      <c r="D288" s="47"/>
      <c r="E288" s="48"/>
      <c r="F288" s="49">
        <f>Source!AN176</f>
        <v>177.59</v>
      </c>
      <c r="G288" s="50">
        <f>Source!DF176</f>
      </c>
      <c r="H288" s="59">
        <f>ROUND(Source!AE176*Source!I176,1)</f>
        <v>5.3</v>
      </c>
      <c r="I288" s="50"/>
      <c r="J288" s="50">
        <f>IF(Source!BS176&lt;&gt;0,Source!BS176,1)</f>
        <v>19.96</v>
      </c>
      <c r="K288" s="59">
        <f>Source!R176</f>
        <v>106.3</v>
      </c>
      <c r="L288" s="52"/>
      <c r="R288" s="9">
        <f>H288</f>
        <v>5.3</v>
      </c>
    </row>
    <row r="289" spans="1:12" s="9" customFormat="1" ht="11.25">
      <c r="A289" s="45"/>
      <c r="B289" s="46"/>
      <c r="C289" s="46" t="s">
        <v>765</v>
      </c>
      <c r="D289" s="47"/>
      <c r="E289" s="48"/>
      <c r="F289" s="49">
        <f>Source!AL176</f>
        <v>12.2</v>
      </c>
      <c r="G289" s="50">
        <f>Source!DD176</f>
      </c>
      <c r="H289" s="51">
        <f>ROUND(Source!AC176*Source!I176,1)</f>
        <v>0.4</v>
      </c>
      <c r="I289" s="50"/>
      <c r="J289" s="50">
        <f>IF(Source!BC176&lt;&gt;0,Source!BC176,1)</f>
        <v>5.66</v>
      </c>
      <c r="K289" s="51">
        <f>Source!P176</f>
        <v>2.1</v>
      </c>
      <c r="L289" s="52"/>
    </row>
    <row r="290" spans="1:12" s="9" customFormat="1" ht="11.25">
      <c r="A290" s="45"/>
      <c r="B290" s="46"/>
      <c r="C290" s="46" t="s">
        <v>759</v>
      </c>
      <c r="D290" s="47" t="s">
        <v>760</v>
      </c>
      <c r="E290" s="48">
        <f>Source!BZ176</f>
        <v>142</v>
      </c>
      <c r="F290" s="53"/>
      <c r="G290" s="50"/>
      <c r="H290" s="51">
        <f>SUM(S285:S293)</f>
        <v>12.9</v>
      </c>
      <c r="I290" s="50" t="str">
        <f>CONCATENATE(Source!FX176,Source!FV176,"=")</f>
        <v>142*0,85=</v>
      </c>
      <c r="J290" s="13">
        <f>Source!AT176</f>
        <v>121</v>
      </c>
      <c r="K290" s="51">
        <f>SUM(T285:T293)</f>
        <v>220</v>
      </c>
      <c r="L290" s="52"/>
    </row>
    <row r="291" spans="1:12" s="9" customFormat="1" ht="11.25">
      <c r="A291" s="45"/>
      <c r="B291" s="46"/>
      <c r="C291" s="46" t="s">
        <v>761</v>
      </c>
      <c r="D291" s="47" t="s">
        <v>760</v>
      </c>
      <c r="E291" s="48">
        <f>Source!CA176</f>
        <v>95</v>
      </c>
      <c r="F291" s="53"/>
      <c r="G291" s="50"/>
      <c r="H291" s="51">
        <f>SUM(U285:U293)</f>
        <v>8.6</v>
      </c>
      <c r="I291" s="50" t="str">
        <f>CONCATENATE(Source!FY176,Source!FW176,"=")</f>
        <v>95*0,8=</v>
      </c>
      <c r="J291" s="13">
        <f>Source!AU176</f>
        <v>76</v>
      </c>
      <c r="K291" s="51">
        <f>SUM(V285:V293)</f>
        <v>138.2</v>
      </c>
      <c r="L291" s="52"/>
    </row>
    <row r="292" spans="1:12" s="9" customFormat="1" ht="11.25">
      <c r="A292" s="45"/>
      <c r="B292" s="46"/>
      <c r="C292" s="46" t="s">
        <v>762</v>
      </c>
      <c r="D292" s="47" t="s">
        <v>763</v>
      </c>
      <c r="E292" s="48">
        <f>Source!AQ176</f>
        <v>15.72</v>
      </c>
      <c r="F292" s="49"/>
      <c r="G292" s="50">
        <f>Source!DI176</f>
      </c>
      <c r="H292" s="51"/>
      <c r="I292" s="50"/>
      <c r="J292" s="50"/>
      <c r="K292" s="51"/>
      <c r="L292" s="65">
        <f>Source!U176</f>
        <v>0.4716</v>
      </c>
    </row>
    <row r="293" spans="1:26" s="9" customFormat="1" ht="78.75">
      <c r="A293" s="54" t="str">
        <f>Source!E177</f>
        <v>30,1</v>
      </c>
      <c r="B293" s="22" t="str">
        <f>Source!BJ177</f>
        <v>ФССЦ-2001, 02.3.01.02-0015, приказ Минстроя России №1039/пр от 30.12.2016г.</v>
      </c>
      <c r="C293" s="22" t="str">
        <f>Source!G177</f>
        <v>Песок природный для строительных работ средний</v>
      </c>
      <c r="D293" s="23" t="str">
        <f>Source!H177</f>
        <v>м3</v>
      </c>
      <c r="E293" s="24">
        <f>Source!I177</f>
        <v>3</v>
      </c>
      <c r="F293" s="25">
        <f>Source!AL177+Source!AM177+Source!AO177</f>
        <v>55.26</v>
      </c>
      <c r="G293" s="32" t="s">
        <v>3</v>
      </c>
      <c r="H293" s="27">
        <f>ROUND(Source!AC177*Source!I177,1)+ROUND(Source!AD177*Source!I177,1)+ROUND(Source!AF177*Source!I177,1)</f>
        <v>165.8</v>
      </c>
      <c r="I293" s="26"/>
      <c r="J293" s="26">
        <f>IF(Source!BC177&lt;&gt;0,Source!BC177,1)</f>
        <v>5.66</v>
      </c>
      <c r="K293" s="27">
        <f>Source!O177</f>
        <v>938.3</v>
      </c>
      <c r="L293" s="57"/>
      <c r="S293" s="9">
        <f>ROUND((Source!FX177/100)*((ROUND(Source!AF177*Source!I177,1)+ROUND(Source!AE177*Source!I177,1))),1)</f>
        <v>0</v>
      </c>
      <c r="T293" s="9">
        <f>Source!X177</f>
        <v>0</v>
      </c>
      <c r="U293" s="9">
        <f>ROUND((Source!FY177/100)*((ROUND(Source!AF177*Source!I177,1)+ROUND(Source!AE177*Source!I177,1))),1)</f>
        <v>0</v>
      </c>
      <c r="V293" s="9">
        <f>Source!Y177</f>
        <v>0</v>
      </c>
      <c r="W293" s="9">
        <f>IF(Source!BI177&lt;=1,H293,0)</f>
        <v>165.8</v>
      </c>
      <c r="X293" s="9">
        <f>IF(Source!BI177=2,H293,0)</f>
        <v>0</v>
      </c>
      <c r="Y293" s="9">
        <f>IF(Source!BI177=3,H293,0)</f>
        <v>0</v>
      </c>
      <c r="Z293" s="9">
        <f>IF(Source!BI177=4,H293,0)</f>
        <v>0</v>
      </c>
    </row>
    <row r="294" spans="1:26" s="9" customFormat="1" ht="11.25">
      <c r="A294" s="43"/>
      <c r="B294" s="14"/>
      <c r="C294" s="14"/>
      <c r="D294" s="14"/>
      <c r="E294" s="14"/>
      <c r="F294" s="14"/>
      <c r="G294" s="87">
        <f>H286+H287+H289+H290+H291+SUM(H293:H293)</f>
        <v>255.8</v>
      </c>
      <c r="H294" s="87"/>
      <c r="I294" s="14"/>
      <c r="J294" s="87">
        <f>K286+K287+K289+K290+K291+SUM(K293:K293)</f>
        <v>1831.3999999999999</v>
      </c>
      <c r="K294" s="87"/>
      <c r="L294" s="56">
        <f>Source!U176</f>
        <v>0.4716</v>
      </c>
      <c r="O294" s="28">
        <f>G294</f>
        <v>255.8</v>
      </c>
      <c r="P294" s="28">
        <f>J294</f>
        <v>1831.3999999999999</v>
      </c>
      <c r="Q294" s="10">
        <f>L294</f>
        <v>0.4716</v>
      </c>
      <c r="W294" s="9">
        <f>IF(Source!BI176&lt;=1,H286+H287+H289+H290+H291,0)</f>
        <v>90</v>
      </c>
      <c r="X294" s="9">
        <f>IF(Source!BI176=2,H286+H287+H289+H290+H291,0)</f>
        <v>0</v>
      </c>
      <c r="Y294" s="9">
        <f>IF(Source!BI176=3,H286+H287+H289+H290+H291,0)</f>
        <v>0</v>
      </c>
      <c r="Z294" s="9">
        <f>IF(Source!BI176=4,H286+H287+H289+H290+H291,0)</f>
        <v>0</v>
      </c>
    </row>
    <row r="295" spans="1:22" s="9" customFormat="1" ht="78.75">
      <c r="A295" s="45" t="str">
        <f>Source!E178</f>
        <v>31</v>
      </c>
      <c r="B295" s="46" t="str">
        <f>Source!BJ178</f>
        <v>ФЕР-2001, 27-04-001-04, приказ Минстроя России №1039/пр от 30.12.2016г.</v>
      </c>
      <c r="C295" s="46" t="str">
        <f>Source!G178</f>
        <v>Устройство подстилающих и выравнивающих слоев оснований из щебня</v>
      </c>
      <c r="D295" s="47" t="str">
        <f>Source!H178</f>
        <v>100 м3</v>
      </c>
      <c r="E295" s="48">
        <f>Source!I178</f>
        <v>0.03</v>
      </c>
      <c r="F295" s="49">
        <f>Source!AL178+Source!AM178+Source!AO178</f>
        <v>3551.6299999999997</v>
      </c>
      <c r="G295" s="50"/>
      <c r="H295" s="51"/>
      <c r="I295" s="50" t="str">
        <f>Source!BO178</f>
        <v>РСЦ с 1.09.2017г.</v>
      </c>
      <c r="J295" s="50"/>
      <c r="K295" s="51"/>
      <c r="L295" s="52"/>
      <c r="S295" s="9">
        <f>ROUND((Source!FX178/100)*((ROUND(Source!AF178*Source!I178,1)+ROUND(Source!AE178*Source!I178,1))),1)</f>
        <v>20.3</v>
      </c>
      <c r="T295" s="9">
        <f>Source!X178</f>
        <v>343.8</v>
      </c>
      <c r="U295" s="9">
        <f>ROUND((Source!FY178/100)*((ROUND(Source!AF178*Source!I178,1)+ROUND(Source!AE178*Source!I178,1))),1)</f>
        <v>13.6</v>
      </c>
      <c r="V295" s="9">
        <f>Source!Y178</f>
        <v>215.9</v>
      </c>
    </row>
    <row r="296" spans="1:18" s="9" customFormat="1" ht="11.25">
      <c r="A296" s="45"/>
      <c r="B296" s="46"/>
      <c r="C296" s="46" t="s">
        <v>758</v>
      </c>
      <c r="D296" s="47"/>
      <c r="E296" s="48"/>
      <c r="F296" s="49">
        <f>Source!AO178</f>
        <v>195.7</v>
      </c>
      <c r="G296" s="50">
        <f>Source!DG178</f>
      </c>
      <c r="H296" s="51">
        <f>ROUND(Source!AF178*Source!I178,1)</f>
        <v>5.9</v>
      </c>
      <c r="I296" s="50"/>
      <c r="J296" s="50">
        <f>IF(Source!BA178&lt;&gt;0,Source!BA178,1)</f>
        <v>19.96</v>
      </c>
      <c r="K296" s="51">
        <f>Source!S178</f>
        <v>117.2</v>
      </c>
      <c r="L296" s="52"/>
      <c r="R296" s="9">
        <f>H296</f>
        <v>5.9</v>
      </c>
    </row>
    <row r="297" spans="1:12" s="9" customFormat="1" ht="11.25">
      <c r="A297" s="45"/>
      <c r="B297" s="46"/>
      <c r="C297" s="46" t="s">
        <v>71</v>
      </c>
      <c r="D297" s="47"/>
      <c r="E297" s="48"/>
      <c r="F297" s="49">
        <f>Source!AM178</f>
        <v>3338.85</v>
      </c>
      <c r="G297" s="50">
        <f>Source!DE178</f>
      </c>
      <c r="H297" s="51">
        <f>ROUND(Source!AD178*Source!I178,1)</f>
        <v>100.2</v>
      </c>
      <c r="I297" s="50"/>
      <c r="J297" s="50">
        <f>IF(Source!BB178&lt;&gt;0,Source!BB178,1)</f>
        <v>7.11</v>
      </c>
      <c r="K297" s="51">
        <f>Source!Q178</f>
        <v>712.2</v>
      </c>
      <c r="L297" s="52"/>
    </row>
    <row r="298" spans="1:18" s="9" customFormat="1" ht="11.25">
      <c r="A298" s="45"/>
      <c r="B298" s="46"/>
      <c r="C298" s="46" t="s">
        <v>764</v>
      </c>
      <c r="D298" s="47"/>
      <c r="E298" s="48"/>
      <c r="F298" s="49">
        <f>Source!AN178</f>
        <v>278.65</v>
      </c>
      <c r="G298" s="50">
        <f>Source!DF178</f>
      </c>
      <c r="H298" s="59">
        <f>ROUND(Source!AE178*Source!I178,1)</f>
        <v>8.4</v>
      </c>
      <c r="I298" s="50"/>
      <c r="J298" s="50">
        <f>IF(Source!BS178&lt;&gt;0,Source!BS178,1)</f>
        <v>19.96</v>
      </c>
      <c r="K298" s="59">
        <f>Source!R178</f>
        <v>166.9</v>
      </c>
      <c r="L298" s="52"/>
      <c r="R298" s="9">
        <f>H298</f>
        <v>8.4</v>
      </c>
    </row>
    <row r="299" spans="1:12" s="9" customFormat="1" ht="11.25">
      <c r="A299" s="45"/>
      <c r="B299" s="46"/>
      <c r="C299" s="46" t="s">
        <v>765</v>
      </c>
      <c r="D299" s="47"/>
      <c r="E299" s="48"/>
      <c r="F299" s="49">
        <f>Source!AL178</f>
        <v>17.08</v>
      </c>
      <c r="G299" s="50">
        <f>Source!DD178</f>
      </c>
      <c r="H299" s="51">
        <f>ROUND(Source!AC178*Source!I178,1)</f>
        <v>0.5</v>
      </c>
      <c r="I299" s="50"/>
      <c r="J299" s="50">
        <f>IF(Source!BC178&lt;&gt;0,Source!BC178,1)</f>
        <v>5.66</v>
      </c>
      <c r="K299" s="51">
        <f>Source!P178</f>
        <v>2.9</v>
      </c>
      <c r="L299" s="52"/>
    </row>
    <row r="300" spans="1:12" s="9" customFormat="1" ht="11.25">
      <c r="A300" s="45"/>
      <c r="B300" s="46"/>
      <c r="C300" s="46" t="s">
        <v>759</v>
      </c>
      <c r="D300" s="47" t="s">
        <v>760</v>
      </c>
      <c r="E300" s="48">
        <f>Source!BZ178</f>
        <v>142</v>
      </c>
      <c r="F300" s="53"/>
      <c r="G300" s="50"/>
      <c r="H300" s="51">
        <f>SUM(S295:S302)</f>
        <v>20.3</v>
      </c>
      <c r="I300" s="50" t="str">
        <f>CONCATENATE(Source!FX178,Source!FV178,"=")</f>
        <v>142*0,85=</v>
      </c>
      <c r="J300" s="13">
        <f>Source!AT178</f>
        <v>121</v>
      </c>
      <c r="K300" s="51">
        <f>SUM(T295:T302)</f>
        <v>343.8</v>
      </c>
      <c r="L300" s="52"/>
    </row>
    <row r="301" spans="1:12" s="9" customFormat="1" ht="11.25">
      <c r="A301" s="45"/>
      <c r="B301" s="46"/>
      <c r="C301" s="46" t="s">
        <v>761</v>
      </c>
      <c r="D301" s="47" t="s">
        <v>760</v>
      </c>
      <c r="E301" s="48">
        <f>Source!CA178</f>
        <v>95</v>
      </c>
      <c r="F301" s="53"/>
      <c r="G301" s="50"/>
      <c r="H301" s="51">
        <f>SUM(U295:U302)</f>
        <v>13.6</v>
      </c>
      <c r="I301" s="50" t="str">
        <f>CONCATENATE(Source!FY178,Source!FW178,"=")</f>
        <v>95*0,8=</v>
      </c>
      <c r="J301" s="13">
        <f>Source!AU178</f>
        <v>76</v>
      </c>
      <c r="K301" s="51">
        <f>SUM(V295:V302)</f>
        <v>215.9</v>
      </c>
      <c r="L301" s="52"/>
    </row>
    <row r="302" spans="1:12" s="9" customFormat="1" ht="11.25">
      <c r="A302" s="54"/>
      <c r="B302" s="22"/>
      <c r="C302" s="22" t="s">
        <v>762</v>
      </c>
      <c r="D302" s="23" t="s">
        <v>763</v>
      </c>
      <c r="E302" s="24">
        <f>Source!AQ178</f>
        <v>24.19</v>
      </c>
      <c r="F302" s="25"/>
      <c r="G302" s="26">
        <f>Source!DI178</f>
      </c>
      <c r="H302" s="27"/>
      <c r="I302" s="26"/>
      <c r="J302" s="26"/>
      <c r="K302" s="27"/>
      <c r="L302" s="55">
        <f>Source!U178</f>
        <v>0.7257</v>
      </c>
    </row>
    <row r="303" spans="1:26" s="9" customFormat="1" ht="11.25">
      <c r="A303" s="43"/>
      <c r="B303" s="14"/>
      <c r="C303" s="14"/>
      <c r="D303" s="14"/>
      <c r="E303" s="14"/>
      <c r="F303" s="14"/>
      <c r="G303" s="87">
        <f>H296+H297+H299+H300+H301</f>
        <v>140.5</v>
      </c>
      <c r="H303" s="87"/>
      <c r="I303" s="14"/>
      <c r="J303" s="87">
        <f>K296+K297+K299+K300+K301</f>
        <v>1392.0000000000002</v>
      </c>
      <c r="K303" s="87"/>
      <c r="L303" s="56">
        <f>Source!U178</f>
        <v>0.7257</v>
      </c>
      <c r="O303" s="28">
        <f>G303</f>
        <v>140.5</v>
      </c>
      <c r="P303" s="28">
        <f>J303</f>
        <v>1392.0000000000002</v>
      </c>
      <c r="Q303" s="10">
        <f>L303</f>
        <v>0.7257</v>
      </c>
      <c r="W303" s="9">
        <f>IF(Source!BI178&lt;=1,H296+H297+H299+H300+H301,0)</f>
        <v>140.5</v>
      </c>
      <c r="X303" s="9">
        <f>IF(Source!BI178=2,H296+H297+H299+H300+H301,0)</f>
        <v>0</v>
      </c>
      <c r="Y303" s="9">
        <f>IF(Source!BI178=3,H296+H297+H299+H300+H301,0)</f>
        <v>0</v>
      </c>
      <c r="Z303" s="9">
        <f>IF(Source!BI178=4,H296+H297+H299+H300+H301,0)</f>
        <v>0</v>
      </c>
    </row>
    <row r="304" spans="1:22" s="9" customFormat="1" ht="78.75">
      <c r="A304" s="54" t="str">
        <f>Source!E179</f>
        <v>32</v>
      </c>
      <c r="B304" s="22" t="str">
        <f>Source!BJ179</f>
        <v>ФССЦ-2001, 02.2.05.04-0046, приказ Минстроя России №1039/пр от 30.12.2016г.</v>
      </c>
      <c r="C304" s="22" t="str">
        <f>Source!G179</f>
        <v>Щебень из гравия для строительных работ марка 600, фракция 10-20 мм</v>
      </c>
      <c r="D304" s="23" t="str">
        <f>Source!H179</f>
        <v>м3</v>
      </c>
      <c r="E304" s="24">
        <f>Source!I179</f>
        <v>3.8</v>
      </c>
      <c r="F304" s="25">
        <f>Source!AL179</f>
        <v>139.63</v>
      </c>
      <c r="G304" s="26">
        <f>Source!DD179</f>
      </c>
      <c r="H304" s="27">
        <f>ROUND(Source!AC179*Source!I179,1)</f>
        <v>530.6</v>
      </c>
      <c r="I304" s="26" t="str">
        <f>Source!BO179</f>
        <v>РСЦ с 1.09.2017г.</v>
      </c>
      <c r="J304" s="26">
        <f>IF(Source!BC179&lt;&gt;0,Source!BC179,1)</f>
        <v>5.66</v>
      </c>
      <c r="K304" s="27">
        <f>Source!P179</f>
        <v>3003.2</v>
      </c>
      <c r="L304" s="57"/>
      <c r="S304" s="9">
        <f>ROUND((Source!FX179/100)*((ROUND(Source!AF179*Source!I179,1)+ROUND(Source!AE179*Source!I179,1))),1)</f>
        <v>0</v>
      </c>
      <c r="T304" s="9">
        <f>Source!X179</f>
        <v>0</v>
      </c>
      <c r="U304" s="9">
        <f>ROUND((Source!FY179/100)*((ROUND(Source!AF179*Source!I179,1)+ROUND(Source!AE179*Source!I179,1))),1)</f>
        <v>0</v>
      </c>
      <c r="V304" s="9">
        <f>Source!Y179</f>
        <v>0</v>
      </c>
    </row>
    <row r="305" spans="1:26" s="9" customFormat="1" ht="11.25">
      <c r="A305" s="43"/>
      <c r="B305" s="14"/>
      <c r="C305" s="14"/>
      <c r="D305" s="14"/>
      <c r="E305" s="14"/>
      <c r="F305" s="14"/>
      <c r="G305" s="87">
        <f>H304</f>
        <v>530.6</v>
      </c>
      <c r="H305" s="87"/>
      <c r="I305" s="14"/>
      <c r="J305" s="87">
        <f>K304</f>
        <v>3003.2</v>
      </c>
      <c r="K305" s="87"/>
      <c r="L305" s="56">
        <f>Source!U179</f>
        <v>0</v>
      </c>
      <c r="O305" s="28">
        <f>G305</f>
        <v>530.6</v>
      </c>
      <c r="P305" s="28">
        <f>J305</f>
        <v>3003.2</v>
      </c>
      <c r="Q305" s="10">
        <f>L305</f>
        <v>0</v>
      </c>
      <c r="W305" s="9">
        <f>IF(Source!BI179&lt;=1,H304,0)</f>
        <v>530.6</v>
      </c>
      <c r="X305" s="9">
        <f>IF(Source!BI179=2,H304,0)</f>
        <v>0</v>
      </c>
      <c r="Y305" s="9">
        <f>IF(Source!BI179=3,H304,0)</f>
        <v>0</v>
      </c>
      <c r="Z305" s="9">
        <f>IF(Source!BI179=4,H304,0)</f>
        <v>0</v>
      </c>
    </row>
    <row r="306" spans="1:12" s="9" customFormat="1" ht="11.25">
      <c r="A306" s="4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44"/>
    </row>
    <row r="307" spans="1:12" s="9" customFormat="1" ht="11.25">
      <c r="A307" s="43"/>
      <c r="B307" s="97" t="str">
        <f>Source!G180</f>
        <v>Монтажные работы, заземление.</v>
      </c>
      <c r="C307" s="97"/>
      <c r="D307" s="97"/>
      <c r="E307" s="97"/>
      <c r="F307" s="97"/>
      <c r="G307" s="97"/>
      <c r="H307" s="97"/>
      <c r="I307" s="97"/>
      <c r="J307" s="97"/>
      <c r="K307" s="97"/>
      <c r="L307" s="44"/>
    </row>
    <row r="308" spans="1:22" s="9" customFormat="1" ht="78.75">
      <c r="A308" s="45" t="str">
        <f>Source!E181</f>
        <v>33</v>
      </c>
      <c r="B308" s="46" t="str">
        <f>Source!BJ181</f>
        <v>ФЕРм-2001, м08-02-396-02, приказ Минстроя России №1039/пр от 30.12.2016г.</v>
      </c>
      <c r="C308" s="46" t="str">
        <f>Source!G181</f>
        <v>Короб металлический на конструкциях, кронштейнах, по фермам и колоннам, длина 3 м</v>
      </c>
      <c r="D308" s="47" t="str">
        <f>Source!H181</f>
        <v>100 м</v>
      </c>
      <c r="E308" s="48">
        <f>Source!I181</f>
        <v>0.03</v>
      </c>
      <c r="F308" s="49">
        <f>Source!AL181+Source!AM181+Source!AO181</f>
        <v>665.75</v>
      </c>
      <c r="G308" s="50"/>
      <c r="H308" s="51"/>
      <c r="I308" s="50" t="str">
        <f>Source!BO181</f>
        <v>РСЦ с 1.09.2017г.</v>
      </c>
      <c r="J308" s="50"/>
      <c r="K308" s="51"/>
      <c r="L308" s="52"/>
      <c r="S308" s="9">
        <f>ROUND((Source!FX181/100)*((ROUND(Source!AF181*Source!I181,1)+ROUND(Source!AE181*Source!I181,1))),1)</f>
        <v>8.8</v>
      </c>
      <c r="T308" s="9">
        <f>Source!X181</f>
        <v>150.2</v>
      </c>
      <c r="U308" s="9">
        <f>ROUND((Source!FY181/100)*((ROUND(Source!AF181*Source!I181,1)+ROUND(Source!AE181*Source!I181,1))),1)</f>
        <v>6</v>
      </c>
      <c r="V308" s="9">
        <f>Source!Y181</f>
        <v>96.4</v>
      </c>
    </row>
    <row r="309" spans="1:18" s="9" customFormat="1" ht="11.25">
      <c r="A309" s="45"/>
      <c r="B309" s="46"/>
      <c r="C309" s="46" t="s">
        <v>758</v>
      </c>
      <c r="D309" s="47"/>
      <c r="E309" s="48"/>
      <c r="F309" s="49">
        <f>Source!AO181</f>
        <v>238.38</v>
      </c>
      <c r="G309" s="50">
        <f>Source!DG181</f>
      </c>
      <c r="H309" s="51">
        <f>ROUND(Source!AF181*Source!I181,1)</f>
        <v>7.2</v>
      </c>
      <c r="I309" s="50"/>
      <c r="J309" s="50">
        <f>IF(Source!BA181&lt;&gt;0,Source!BA181,1)</f>
        <v>19.96</v>
      </c>
      <c r="K309" s="51">
        <f>Source!S181</f>
        <v>142.7</v>
      </c>
      <c r="L309" s="52"/>
      <c r="R309" s="9">
        <f>H309</f>
        <v>7.2</v>
      </c>
    </row>
    <row r="310" spans="1:12" s="9" customFormat="1" ht="11.25">
      <c r="A310" s="45"/>
      <c r="B310" s="46"/>
      <c r="C310" s="46" t="s">
        <v>71</v>
      </c>
      <c r="D310" s="47"/>
      <c r="E310" s="48"/>
      <c r="F310" s="49">
        <f>Source!AM181</f>
        <v>240.8</v>
      </c>
      <c r="G310" s="50">
        <f>Source!DE181</f>
      </c>
      <c r="H310" s="51">
        <f>ROUND(Source!AD181*Source!I181,1)</f>
        <v>7.2</v>
      </c>
      <c r="I310" s="50"/>
      <c r="J310" s="50">
        <f>IF(Source!BB181&lt;&gt;0,Source!BB181,1)</f>
        <v>7.11</v>
      </c>
      <c r="K310" s="51">
        <f>Source!Q181</f>
        <v>51.4</v>
      </c>
      <c r="L310" s="52"/>
    </row>
    <row r="311" spans="1:18" s="9" customFormat="1" ht="11.25">
      <c r="A311" s="45"/>
      <c r="B311" s="46"/>
      <c r="C311" s="46" t="s">
        <v>764</v>
      </c>
      <c r="D311" s="47"/>
      <c r="E311" s="48"/>
      <c r="F311" s="49">
        <f>Source!AN181</f>
        <v>71.32</v>
      </c>
      <c r="G311" s="50">
        <f>Source!DF181</f>
      </c>
      <c r="H311" s="59">
        <f>ROUND(Source!AE181*Source!I181,1)</f>
        <v>2.1</v>
      </c>
      <c r="I311" s="50"/>
      <c r="J311" s="50">
        <f>IF(Source!BS181&lt;&gt;0,Source!BS181,1)</f>
        <v>19.96</v>
      </c>
      <c r="K311" s="59">
        <f>Source!R181</f>
        <v>42.7</v>
      </c>
      <c r="L311" s="52"/>
      <c r="R311" s="9">
        <f>H311</f>
        <v>2.1</v>
      </c>
    </row>
    <row r="312" spans="1:12" s="9" customFormat="1" ht="11.25">
      <c r="A312" s="45"/>
      <c r="B312" s="46"/>
      <c r="C312" s="46" t="s">
        <v>765</v>
      </c>
      <c r="D312" s="47"/>
      <c r="E312" s="48"/>
      <c r="F312" s="49">
        <f>Source!AL181</f>
        <v>186.57</v>
      </c>
      <c r="G312" s="50">
        <f>Source!DD181</f>
      </c>
      <c r="H312" s="51">
        <f>ROUND(Source!AC181*Source!I181,1)</f>
        <v>5.6</v>
      </c>
      <c r="I312" s="50"/>
      <c r="J312" s="50">
        <f>IF(Source!BC181&lt;&gt;0,Source!BC181,1)</f>
        <v>5.66</v>
      </c>
      <c r="K312" s="51">
        <f>Source!P181</f>
        <v>31.7</v>
      </c>
      <c r="L312" s="52"/>
    </row>
    <row r="313" spans="1:12" s="9" customFormat="1" ht="11.25">
      <c r="A313" s="45"/>
      <c r="B313" s="46"/>
      <c r="C313" s="46" t="s">
        <v>759</v>
      </c>
      <c r="D313" s="47" t="s">
        <v>760</v>
      </c>
      <c r="E313" s="48">
        <f>Source!BZ181</f>
        <v>95</v>
      </c>
      <c r="F313" s="53"/>
      <c r="G313" s="50"/>
      <c r="H313" s="51">
        <f>SUM(S308:S315)</f>
        <v>8.8</v>
      </c>
      <c r="I313" s="50" t="str">
        <f>CONCATENATE(Source!FX181,Source!FV181,"=")</f>
        <v>95*0,85=</v>
      </c>
      <c r="J313" s="13">
        <f>Source!AT181</f>
        <v>81</v>
      </c>
      <c r="K313" s="51">
        <f>SUM(T308:T315)</f>
        <v>150.2</v>
      </c>
      <c r="L313" s="52"/>
    </row>
    <row r="314" spans="1:12" s="9" customFormat="1" ht="11.25">
      <c r="A314" s="45"/>
      <c r="B314" s="46"/>
      <c r="C314" s="46" t="s">
        <v>761</v>
      </c>
      <c r="D314" s="47" t="s">
        <v>760</v>
      </c>
      <c r="E314" s="48">
        <f>Source!CA181</f>
        <v>65</v>
      </c>
      <c r="F314" s="53"/>
      <c r="G314" s="50"/>
      <c r="H314" s="51">
        <f>SUM(U308:U315)</f>
        <v>6</v>
      </c>
      <c r="I314" s="50" t="str">
        <f>CONCATENATE(Source!FY181,Source!FW181,"=")</f>
        <v>65*0,8=</v>
      </c>
      <c r="J314" s="13">
        <f>Source!AU181</f>
        <v>52</v>
      </c>
      <c r="K314" s="51">
        <f>SUM(V308:V315)</f>
        <v>96.4</v>
      </c>
      <c r="L314" s="52"/>
    </row>
    <row r="315" spans="1:12" s="9" customFormat="1" ht="11.25">
      <c r="A315" s="54"/>
      <c r="B315" s="22"/>
      <c r="C315" s="22" t="s">
        <v>762</v>
      </c>
      <c r="D315" s="23" t="s">
        <v>763</v>
      </c>
      <c r="E315" s="24">
        <f>Source!AQ181</f>
        <v>25.36</v>
      </c>
      <c r="F315" s="25"/>
      <c r="G315" s="26">
        <f>Source!DI181</f>
      </c>
      <c r="H315" s="27"/>
      <c r="I315" s="26"/>
      <c r="J315" s="26"/>
      <c r="K315" s="27"/>
      <c r="L315" s="55">
        <f>Source!U181</f>
        <v>0.7607999999999999</v>
      </c>
    </row>
    <row r="316" spans="1:26" s="9" customFormat="1" ht="11.25">
      <c r="A316" s="43"/>
      <c r="B316" s="14"/>
      <c r="C316" s="14"/>
      <c r="D316" s="14"/>
      <c r="E316" s="14"/>
      <c r="F316" s="14"/>
      <c r="G316" s="87">
        <f>H309+H310+H312+H313+H314</f>
        <v>34.8</v>
      </c>
      <c r="H316" s="87"/>
      <c r="I316" s="14"/>
      <c r="J316" s="87">
        <f>K309+K310+K312+K313+K314</f>
        <v>472.4</v>
      </c>
      <c r="K316" s="87"/>
      <c r="L316" s="56">
        <f>Source!U181</f>
        <v>0.7607999999999999</v>
      </c>
      <c r="O316" s="28">
        <f>G316</f>
        <v>34.8</v>
      </c>
      <c r="P316" s="28">
        <f>J316</f>
        <v>472.4</v>
      </c>
      <c r="Q316" s="10">
        <f>L316</f>
        <v>0.7607999999999999</v>
      </c>
      <c r="W316" s="9">
        <f>IF(Source!BI181&lt;=1,H309+H310+H312+H313+H314,0)</f>
        <v>0</v>
      </c>
      <c r="X316" s="9">
        <f>IF(Source!BI181=2,H309+H310+H312+H313+H314,0)</f>
        <v>34.8</v>
      </c>
      <c r="Y316" s="9">
        <f>IF(Source!BI181=3,H309+H310+H312+H313+H314,0)</f>
        <v>0</v>
      </c>
      <c r="Z316" s="9">
        <f>IF(Source!BI181=4,H309+H310+H312+H313+H314,0)</f>
        <v>0</v>
      </c>
    </row>
    <row r="317" spans="1:22" s="9" customFormat="1" ht="22.5">
      <c r="A317" s="54" t="str">
        <f>Source!E182</f>
        <v>34</v>
      </c>
      <c r="B317" s="22" t="s">
        <v>774</v>
      </c>
      <c r="C317" s="22" t="str">
        <f>Source!G182</f>
        <v>Лоток перфорированный 200х 80х3000х 0.8мм | 35304 | DKC Приведенная цена=485/1,18/5,66*1,02</v>
      </c>
      <c r="D317" s="23" t="str">
        <f>Source!H182</f>
        <v>метр</v>
      </c>
      <c r="E317" s="24">
        <f>Source!I182</f>
        <v>3</v>
      </c>
      <c r="F317" s="25">
        <f>Source!AL182</f>
        <v>0</v>
      </c>
      <c r="G317" s="26" t="str">
        <f>Source!DD182</f>
        <v>=485/1,18/5,66*1,02</v>
      </c>
      <c r="H317" s="27">
        <f>ROUND(Source!AC182*Source!I182,1)</f>
        <v>222.2</v>
      </c>
      <c r="I317" s="26" t="str">
        <f>Source!BO182</f>
        <v>РСЦ с 1.09.2017г.</v>
      </c>
      <c r="J317" s="26">
        <f>IF(Source!BC182&lt;&gt;0,Source!BC182,1)</f>
        <v>5.66</v>
      </c>
      <c r="K317" s="27">
        <f>Source!P182</f>
        <v>1257.7</v>
      </c>
      <c r="L317" s="57"/>
      <c r="S317" s="9">
        <f>ROUND((Source!FX182/100)*((ROUND(Source!AF182*Source!I182,1)+ROUND(Source!AE182*Source!I182,1))),1)</f>
        <v>0</v>
      </c>
      <c r="T317" s="9">
        <f>Source!X182</f>
        <v>0</v>
      </c>
      <c r="U317" s="9">
        <f>ROUND((Source!FY182/100)*((ROUND(Source!AF182*Source!I182,1)+ROUND(Source!AE182*Source!I182,1))),1)</f>
        <v>0</v>
      </c>
      <c r="V317" s="9">
        <f>Source!Y182</f>
        <v>0</v>
      </c>
    </row>
    <row r="318" spans="1:26" s="9" customFormat="1" ht="11.25">
      <c r="A318" s="43"/>
      <c r="B318" s="14"/>
      <c r="C318" s="14"/>
      <c r="D318" s="14"/>
      <c r="E318" s="14"/>
      <c r="F318" s="14"/>
      <c r="G318" s="87">
        <f>H317</f>
        <v>222.2</v>
      </c>
      <c r="H318" s="87"/>
      <c r="I318" s="14"/>
      <c r="J318" s="87">
        <f>K317</f>
        <v>1257.7</v>
      </c>
      <c r="K318" s="87"/>
      <c r="L318" s="56">
        <f>Source!U182</f>
        <v>0</v>
      </c>
      <c r="O318" s="28">
        <f>G318</f>
        <v>222.2</v>
      </c>
      <c r="P318" s="28">
        <f>J318</f>
        <v>1257.7</v>
      </c>
      <c r="Q318" s="10">
        <f>L318</f>
        <v>0</v>
      </c>
      <c r="W318" s="9">
        <f>IF(Source!BI182&lt;=1,H317,0)</f>
        <v>222.2</v>
      </c>
      <c r="X318" s="9">
        <f>IF(Source!BI182=2,H317,0)</f>
        <v>0</v>
      </c>
      <c r="Y318" s="9">
        <f>IF(Source!BI182=3,H317,0)</f>
        <v>0</v>
      </c>
      <c r="Z318" s="9">
        <f>IF(Source!BI182=4,H317,0)</f>
        <v>0</v>
      </c>
    </row>
    <row r="319" spans="1:22" s="9" customFormat="1" ht="78.75">
      <c r="A319" s="45" t="str">
        <f>Source!E183</f>
        <v>35</v>
      </c>
      <c r="B319" s="46" t="str">
        <f>Source!BJ183</f>
        <v>ФЕРм-2001, м08-02-471-01, приказ Минстроя России №1039/пр от 30.12.2016г.</v>
      </c>
      <c r="C319" s="46" t="str">
        <f>Source!G183</f>
        <v>Заземлитель вертикальный из угловой стали размером 50х50х5 мм</v>
      </c>
      <c r="D319" s="47" t="str">
        <f>Source!H183</f>
        <v>10 ШТ</v>
      </c>
      <c r="E319" s="48">
        <f>Source!I183</f>
        <v>0.8</v>
      </c>
      <c r="F319" s="49">
        <f>Source!AL183+Source!AM183+Source!AO183</f>
        <v>634.36</v>
      </c>
      <c r="G319" s="50"/>
      <c r="H319" s="51"/>
      <c r="I319" s="50" t="str">
        <f>Source!BO183</f>
        <v>РСЦ с 1.09.2017г.</v>
      </c>
      <c r="J319" s="50"/>
      <c r="K319" s="51"/>
      <c r="L319" s="52"/>
      <c r="S319" s="9">
        <f>ROUND((Source!FX183/100)*((ROUND(Source!AF183*Source!I183,1)+ROUND(Source!AE183*Source!I183,1))),1)</f>
        <v>80.1</v>
      </c>
      <c r="T319" s="9">
        <f>Source!X183</f>
        <v>1362.7</v>
      </c>
      <c r="U319" s="9">
        <f>ROUND((Source!FY183/100)*((ROUND(Source!AF183*Source!I183,1)+ROUND(Source!AE183*Source!I183,1))),1)</f>
        <v>54.8</v>
      </c>
      <c r="V319" s="9">
        <f>Source!Y183</f>
        <v>874.8</v>
      </c>
    </row>
    <row r="320" spans="1:18" s="9" customFormat="1" ht="11.25">
      <c r="A320" s="45"/>
      <c r="B320" s="46"/>
      <c r="C320" s="46" t="s">
        <v>758</v>
      </c>
      <c r="D320" s="47"/>
      <c r="E320" s="48"/>
      <c r="F320" s="49">
        <f>Source!AO183</f>
        <v>100.58</v>
      </c>
      <c r="G320" s="50">
        <f>Source!DG183</f>
      </c>
      <c r="H320" s="51">
        <f>ROUND(Source!AF183*Source!I183,1)</f>
        <v>80.5</v>
      </c>
      <c r="I320" s="50"/>
      <c r="J320" s="50">
        <f>IF(Source!BA183&lt;&gt;0,Source!BA183,1)</f>
        <v>19.96</v>
      </c>
      <c r="K320" s="51">
        <f>Source!S183</f>
        <v>1606.1</v>
      </c>
      <c r="L320" s="52"/>
      <c r="R320" s="9">
        <f>H320</f>
        <v>80.5</v>
      </c>
    </row>
    <row r="321" spans="1:12" s="9" customFormat="1" ht="11.25">
      <c r="A321" s="45"/>
      <c r="B321" s="46"/>
      <c r="C321" s="46" t="s">
        <v>71</v>
      </c>
      <c r="D321" s="47"/>
      <c r="E321" s="48"/>
      <c r="F321" s="49">
        <f>Source!AM183</f>
        <v>47.94</v>
      </c>
      <c r="G321" s="50">
        <f>Source!DE183</f>
      </c>
      <c r="H321" s="51">
        <f>ROUND(Source!AD183*Source!I183,1)</f>
        <v>38.4</v>
      </c>
      <c r="I321" s="50"/>
      <c r="J321" s="50">
        <f>IF(Source!BB183&lt;&gt;0,Source!BB183,1)</f>
        <v>7.11</v>
      </c>
      <c r="K321" s="51">
        <f>Source!Q183</f>
        <v>272.7</v>
      </c>
      <c r="L321" s="52"/>
    </row>
    <row r="322" spans="1:18" s="9" customFormat="1" ht="11.25">
      <c r="A322" s="45"/>
      <c r="B322" s="46"/>
      <c r="C322" s="46" t="s">
        <v>764</v>
      </c>
      <c r="D322" s="47"/>
      <c r="E322" s="48"/>
      <c r="F322" s="49">
        <f>Source!AN183</f>
        <v>4.77</v>
      </c>
      <c r="G322" s="50">
        <f>Source!DF183</f>
      </c>
      <c r="H322" s="59">
        <f>ROUND(Source!AE183*Source!I183,1)</f>
        <v>3.8</v>
      </c>
      <c r="I322" s="50"/>
      <c r="J322" s="50">
        <f>IF(Source!BS183&lt;&gt;0,Source!BS183,1)</f>
        <v>19.96</v>
      </c>
      <c r="K322" s="59">
        <f>Source!R183</f>
        <v>76.2</v>
      </c>
      <c r="L322" s="52"/>
      <c r="R322" s="9">
        <f>H322</f>
        <v>3.8</v>
      </c>
    </row>
    <row r="323" spans="1:12" s="9" customFormat="1" ht="11.25">
      <c r="A323" s="45"/>
      <c r="B323" s="46"/>
      <c r="C323" s="46" t="s">
        <v>765</v>
      </c>
      <c r="D323" s="47"/>
      <c r="E323" s="48"/>
      <c r="F323" s="49">
        <f>Source!AL183</f>
        <v>485.84</v>
      </c>
      <c r="G323" s="50">
        <f>Source!DD183</f>
      </c>
      <c r="H323" s="51">
        <f>ROUND(Source!AC183*Source!I183,1)</f>
        <v>388.7</v>
      </c>
      <c r="I323" s="50"/>
      <c r="J323" s="50">
        <f>IF(Source!BC183&lt;&gt;0,Source!BC183,1)</f>
        <v>5.66</v>
      </c>
      <c r="K323" s="51">
        <f>Source!P183</f>
        <v>2199.9</v>
      </c>
      <c r="L323" s="52"/>
    </row>
    <row r="324" spans="1:12" s="9" customFormat="1" ht="11.25">
      <c r="A324" s="45"/>
      <c r="B324" s="46"/>
      <c r="C324" s="46" t="s">
        <v>759</v>
      </c>
      <c r="D324" s="47" t="s">
        <v>760</v>
      </c>
      <c r="E324" s="48">
        <f>Source!BZ183</f>
        <v>95</v>
      </c>
      <c r="F324" s="53"/>
      <c r="G324" s="50"/>
      <c r="H324" s="51">
        <f>SUM(S319:S327)</f>
        <v>80.1</v>
      </c>
      <c r="I324" s="50" t="str">
        <f>CONCATENATE(Source!FX183,Source!FV183,"=")</f>
        <v>95*0,85=</v>
      </c>
      <c r="J324" s="13">
        <f>Source!AT183</f>
        <v>81</v>
      </c>
      <c r="K324" s="51">
        <f>SUM(T319:T327)</f>
        <v>1362.7</v>
      </c>
      <c r="L324" s="52"/>
    </row>
    <row r="325" spans="1:12" s="9" customFormat="1" ht="11.25">
      <c r="A325" s="45"/>
      <c r="B325" s="46"/>
      <c r="C325" s="46" t="s">
        <v>761</v>
      </c>
      <c r="D325" s="47" t="s">
        <v>760</v>
      </c>
      <c r="E325" s="48">
        <f>Source!CA183</f>
        <v>65</v>
      </c>
      <c r="F325" s="53"/>
      <c r="G325" s="50"/>
      <c r="H325" s="51">
        <f>SUM(U319:U327)</f>
        <v>54.8</v>
      </c>
      <c r="I325" s="50" t="str">
        <f>CONCATENATE(Source!FY183,Source!FW183,"=")</f>
        <v>65*0,8=</v>
      </c>
      <c r="J325" s="13">
        <f>Source!AU183</f>
        <v>52</v>
      </c>
      <c r="K325" s="51">
        <f>SUM(V319:V327)</f>
        <v>874.8</v>
      </c>
      <c r="L325" s="52"/>
    </row>
    <row r="326" spans="1:12" s="9" customFormat="1" ht="11.25">
      <c r="A326" s="45"/>
      <c r="B326" s="46"/>
      <c r="C326" s="46" t="s">
        <v>762</v>
      </c>
      <c r="D326" s="47" t="s">
        <v>763</v>
      </c>
      <c r="E326" s="48">
        <f>Source!AQ183</f>
        <v>10.7</v>
      </c>
      <c r="F326" s="49"/>
      <c r="G326" s="50">
        <f>Source!DI183</f>
      </c>
      <c r="H326" s="51"/>
      <c r="I326" s="50"/>
      <c r="J326" s="50"/>
      <c r="K326" s="51"/>
      <c r="L326" s="65">
        <f>Source!U183</f>
        <v>8.56</v>
      </c>
    </row>
    <row r="327" spans="1:26" s="9" customFormat="1" ht="78.75">
      <c r="A327" s="54" t="str">
        <f>Source!E184</f>
        <v>35,1</v>
      </c>
      <c r="B327" s="22" t="str">
        <f>Source!BJ184</f>
        <v>ФССЦ-2001, 08.3.08.02-0022, приказ Минстроя России №1039/пр от 30.12.2016г.</v>
      </c>
      <c r="C327" s="22" t="str">
        <f>Source!G184</f>
        <v>Сталь угловая 50х50 мм</v>
      </c>
      <c r="D327" s="23" t="str">
        <f>Source!H184</f>
        <v>т</v>
      </c>
      <c r="E327" s="24">
        <f>Source!I184</f>
        <v>0.10399999999999998</v>
      </c>
      <c r="F327" s="25">
        <f>Source!AL184+Source!AM184+Source!AO184</f>
        <v>5763</v>
      </c>
      <c r="G327" s="32" t="s">
        <v>3</v>
      </c>
      <c r="H327" s="27">
        <f>ROUND(Source!AC184*Source!I184,1)+ROUND(Source!AD184*Source!I184,1)+ROUND(Source!AF184*Source!I184,1)</f>
        <v>599.4</v>
      </c>
      <c r="I327" s="26"/>
      <c r="J327" s="26">
        <f>IF(Source!BC184&lt;&gt;0,Source!BC184,1)</f>
        <v>5.66</v>
      </c>
      <c r="K327" s="27">
        <f>Source!O184</f>
        <v>3392.3</v>
      </c>
      <c r="L327" s="57"/>
      <c r="S327" s="9">
        <f>ROUND((Source!FX184/100)*((ROUND(Source!AF184*Source!I184,1)+ROUND(Source!AE184*Source!I184,1))),1)</f>
        <v>0</v>
      </c>
      <c r="T327" s="9">
        <f>Source!X184</f>
        <v>0</v>
      </c>
      <c r="U327" s="9">
        <f>ROUND((Source!FY184/100)*((ROUND(Source!AF184*Source!I184,1)+ROUND(Source!AE184*Source!I184,1))),1)</f>
        <v>0</v>
      </c>
      <c r="V327" s="9">
        <f>Source!Y184</f>
        <v>0</v>
      </c>
      <c r="W327" s="9">
        <f>IF(Source!BI184&lt;=1,H327,0)</f>
        <v>0</v>
      </c>
      <c r="X327" s="9">
        <f>IF(Source!BI184=2,H327,0)</f>
        <v>599.4</v>
      </c>
      <c r="Y327" s="9">
        <f>IF(Source!BI184=3,H327,0)</f>
        <v>0</v>
      </c>
      <c r="Z327" s="9">
        <f>IF(Source!BI184=4,H327,0)</f>
        <v>0</v>
      </c>
    </row>
    <row r="328" spans="1:26" s="9" customFormat="1" ht="11.25">
      <c r="A328" s="43"/>
      <c r="B328" s="14"/>
      <c r="C328" s="14"/>
      <c r="D328" s="14"/>
      <c r="E328" s="14"/>
      <c r="F328" s="14"/>
      <c r="G328" s="87">
        <f>H320+H321+H323+H324+H325+SUM(H327:H327)</f>
        <v>1241.9</v>
      </c>
      <c r="H328" s="87"/>
      <c r="I328" s="14"/>
      <c r="J328" s="87">
        <f>K320+K321+K323+K324+K325+SUM(K327:K327)</f>
        <v>9708.5</v>
      </c>
      <c r="K328" s="87"/>
      <c r="L328" s="56">
        <f>Source!U183</f>
        <v>8.56</v>
      </c>
      <c r="O328" s="28">
        <f>G328</f>
        <v>1241.9</v>
      </c>
      <c r="P328" s="28">
        <f>J328</f>
        <v>9708.5</v>
      </c>
      <c r="Q328" s="10">
        <f>L328</f>
        <v>8.56</v>
      </c>
      <c r="W328" s="9">
        <f>IF(Source!BI183&lt;=1,H320+H321+H323+H324+H325,0)</f>
        <v>0</v>
      </c>
      <c r="X328" s="9">
        <f>IF(Source!BI183=2,H320+H321+H323+H324+H325,0)</f>
        <v>642.5</v>
      </c>
      <c r="Y328" s="9">
        <f>IF(Source!BI183=3,H320+H321+H323+H324+H325,0)</f>
        <v>0</v>
      </c>
      <c r="Z328" s="9">
        <f>IF(Source!BI183=4,H320+H321+H323+H324+H325,0)</f>
        <v>0</v>
      </c>
    </row>
    <row r="329" spans="1:22" s="9" customFormat="1" ht="78.75">
      <c r="A329" s="45" t="str">
        <f>Source!E185</f>
        <v>36</v>
      </c>
      <c r="B329" s="46" t="str">
        <f>Source!BJ185</f>
        <v>ФЕРм-2001, м08-02-472-02, приказ Минстроя России №1039/пр от 30.12.2016г.</v>
      </c>
      <c r="C329" s="46" t="str">
        <f>Source!G185</f>
        <v>Заземлитель горизонтальный из стали полосовой сечением 160 мм2</v>
      </c>
      <c r="D329" s="47" t="str">
        <f>Source!H185</f>
        <v>100 м</v>
      </c>
      <c r="E329" s="48">
        <f>Source!I185</f>
        <v>0.42</v>
      </c>
      <c r="F329" s="49">
        <f>Source!AL185+Source!AM185+Source!AO185</f>
        <v>1115.5</v>
      </c>
      <c r="G329" s="50"/>
      <c r="H329" s="51"/>
      <c r="I329" s="50" t="str">
        <f>Source!BO185</f>
        <v>РСЦ с 1.09.2017г.</v>
      </c>
      <c r="J329" s="50"/>
      <c r="K329" s="51"/>
      <c r="L329" s="52"/>
      <c r="S329" s="9">
        <f>ROUND((Source!FX185/100)*((ROUND(Source!AF185*Source!I185,1)+ROUND(Source!AE185*Source!I185,1))),1)</f>
        <v>64.4</v>
      </c>
      <c r="T329" s="9">
        <f>Source!X185</f>
        <v>1097.1</v>
      </c>
      <c r="U329" s="9">
        <f>ROUND((Source!FY185/100)*((ROUND(Source!AF185*Source!I185,1)+ROUND(Source!AE185*Source!I185,1))),1)</f>
        <v>44.1</v>
      </c>
      <c r="V329" s="9">
        <f>Source!Y185</f>
        <v>704.3</v>
      </c>
    </row>
    <row r="330" spans="1:18" s="9" customFormat="1" ht="11.25">
      <c r="A330" s="45"/>
      <c r="B330" s="46"/>
      <c r="C330" s="46" t="s">
        <v>758</v>
      </c>
      <c r="D330" s="47"/>
      <c r="E330" s="48"/>
      <c r="F330" s="49">
        <f>Source!AO185</f>
        <v>156.04</v>
      </c>
      <c r="G330" s="50">
        <f>Source!DG185</f>
      </c>
      <c r="H330" s="51">
        <f>ROUND(Source!AF185*Source!I185,1)</f>
        <v>65.5</v>
      </c>
      <c r="I330" s="50"/>
      <c r="J330" s="50">
        <f>IF(Source!BA185&lt;&gt;0,Source!BA185,1)</f>
        <v>19.96</v>
      </c>
      <c r="K330" s="51">
        <f>Source!S185</f>
        <v>1308.1</v>
      </c>
      <c r="L330" s="52"/>
      <c r="R330" s="9">
        <f>H330</f>
        <v>65.5</v>
      </c>
    </row>
    <row r="331" spans="1:12" s="9" customFormat="1" ht="11.25">
      <c r="A331" s="45"/>
      <c r="B331" s="46"/>
      <c r="C331" s="46" t="s">
        <v>71</v>
      </c>
      <c r="D331" s="47"/>
      <c r="E331" s="48"/>
      <c r="F331" s="49">
        <f>Source!AM185</f>
        <v>64.45</v>
      </c>
      <c r="G331" s="50">
        <f>Source!DE185</f>
      </c>
      <c r="H331" s="51">
        <f>ROUND(Source!AD185*Source!I185,1)</f>
        <v>27.1</v>
      </c>
      <c r="I331" s="50"/>
      <c r="J331" s="50">
        <f>IF(Source!BB185&lt;&gt;0,Source!BB185,1)</f>
        <v>7.11</v>
      </c>
      <c r="K331" s="51">
        <f>Source!Q185</f>
        <v>192.5</v>
      </c>
      <c r="L331" s="52"/>
    </row>
    <row r="332" spans="1:18" s="9" customFormat="1" ht="11.25">
      <c r="A332" s="45"/>
      <c r="B332" s="46"/>
      <c r="C332" s="46" t="s">
        <v>764</v>
      </c>
      <c r="D332" s="47"/>
      <c r="E332" s="48"/>
      <c r="F332" s="49">
        <f>Source!AN185</f>
        <v>5.52</v>
      </c>
      <c r="G332" s="50">
        <f>Source!DF185</f>
      </c>
      <c r="H332" s="59">
        <f>ROUND(Source!AE185*Source!I185,1)</f>
        <v>2.3</v>
      </c>
      <c r="I332" s="50"/>
      <c r="J332" s="50">
        <f>IF(Source!BS185&lt;&gt;0,Source!BS185,1)</f>
        <v>19.96</v>
      </c>
      <c r="K332" s="59">
        <f>Source!R185</f>
        <v>46.3</v>
      </c>
      <c r="L332" s="52"/>
      <c r="R332" s="9">
        <f>H332</f>
        <v>2.3</v>
      </c>
    </row>
    <row r="333" spans="1:12" s="9" customFormat="1" ht="11.25">
      <c r="A333" s="45"/>
      <c r="B333" s="46"/>
      <c r="C333" s="46" t="s">
        <v>765</v>
      </c>
      <c r="D333" s="47"/>
      <c r="E333" s="48"/>
      <c r="F333" s="49">
        <f>Source!AL185</f>
        <v>895.01</v>
      </c>
      <c r="G333" s="50">
        <f>Source!DD185</f>
      </c>
      <c r="H333" s="51">
        <f>ROUND(Source!AC185*Source!I185,1)</f>
        <v>375.9</v>
      </c>
      <c r="I333" s="50"/>
      <c r="J333" s="50">
        <f>IF(Source!BC185&lt;&gt;0,Source!BC185,1)</f>
        <v>5.66</v>
      </c>
      <c r="K333" s="51">
        <f>Source!P185</f>
        <v>2127.6</v>
      </c>
      <c r="L333" s="52"/>
    </row>
    <row r="334" spans="1:12" s="9" customFormat="1" ht="11.25">
      <c r="A334" s="45"/>
      <c r="B334" s="46"/>
      <c r="C334" s="46" t="s">
        <v>759</v>
      </c>
      <c r="D334" s="47" t="s">
        <v>760</v>
      </c>
      <c r="E334" s="48">
        <f>Source!BZ185</f>
        <v>95</v>
      </c>
      <c r="F334" s="53"/>
      <c r="G334" s="50"/>
      <c r="H334" s="51">
        <f>SUM(S329:S337)</f>
        <v>64.4</v>
      </c>
      <c r="I334" s="50" t="str">
        <f>CONCATENATE(Source!FX185,Source!FV185,"=")</f>
        <v>95*0,85=</v>
      </c>
      <c r="J334" s="13">
        <f>Source!AT185</f>
        <v>81</v>
      </c>
      <c r="K334" s="51">
        <f>SUM(T329:T337)</f>
        <v>1097.1</v>
      </c>
      <c r="L334" s="52"/>
    </row>
    <row r="335" spans="1:12" s="9" customFormat="1" ht="11.25">
      <c r="A335" s="45"/>
      <c r="B335" s="46"/>
      <c r="C335" s="46" t="s">
        <v>761</v>
      </c>
      <c r="D335" s="47" t="s">
        <v>760</v>
      </c>
      <c r="E335" s="48">
        <f>Source!CA185</f>
        <v>65</v>
      </c>
      <c r="F335" s="53"/>
      <c r="G335" s="50"/>
      <c r="H335" s="51">
        <f>SUM(U329:U337)</f>
        <v>44.1</v>
      </c>
      <c r="I335" s="50" t="str">
        <f>CONCATENATE(Source!FY185,Source!FW185,"=")</f>
        <v>65*0,8=</v>
      </c>
      <c r="J335" s="13">
        <f>Source!AU185</f>
        <v>52</v>
      </c>
      <c r="K335" s="51">
        <f>SUM(V329:V337)</f>
        <v>704.3</v>
      </c>
      <c r="L335" s="52"/>
    </row>
    <row r="336" spans="1:12" s="9" customFormat="1" ht="11.25">
      <c r="A336" s="45"/>
      <c r="B336" s="46"/>
      <c r="C336" s="46" t="s">
        <v>762</v>
      </c>
      <c r="D336" s="47" t="s">
        <v>763</v>
      </c>
      <c r="E336" s="48">
        <f>Source!AQ185</f>
        <v>16.6</v>
      </c>
      <c r="F336" s="49"/>
      <c r="G336" s="50">
        <f>Source!DI185</f>
      </c>
      <c r="H336" s="51"/>
      <c r="I336" s="50"/>
      <c r="J336" s="50"/>
      <c r="K336" s="51"/>
      <c r="L336" s="65">
        <f>Source!U185</f>
        <v>6.972</v>
      </c>
    </row>
    <row r="337" spans="1:26" s="9" customFormat="1" ht="78.75">
      <c r="A337" s="54" t="str">
        <f>Source!E186</f>
        <v>36,1</v>
      </c>
      <c r="B337" s="22" t="str">
        <f>Source!BJ186</f>
        <v>ФССЦ-2001, 08.3.07.01-0043, приказ Минстроя России №1039/пр от 30.12.2016г.</v>
      </c>
      <c r="C337" s="22" t="str">
        <f>Source!G186</f>
        <v>Сталь полосовая 40х5 мм, марка Ст3сп</v>
      </c>
      <c r="D337" s="23" t="str">
        <f>Source!H186</f>
        <v>т</v>
      </c>
      <c r="E337" s="24">
        <f>Source!I186</f>
        <v>0.0546</v>
      </c>
      <c r="F337" s="25">
        <f>Source!AL186+Source!AM186+Source!AO186</f>
        <v>6159.22</v>
      </c>
      <c r="G337" s="32" t="s">
        <v>3</v>
      </c>
      <c r="H337" s="27">
        <f>ROUND(Source!AC186*Source!I186,1)+ROUND(Source!AD186*Source!I186,1)+ROUND(Source!AF186*Source!I186,1)</f>
        <v>336.3</v>
      </c>
      <c r="I337" s="26"/>
      <c r="J337" s="26">
        <f>IF(Source!BC186&lt;&gt;0,Source!BC186,1)</f>
        <v>5.66</v>
      </c>
      <c r="K337" s="27">
        <f>Source!O186</f>
        <v>1903.4</v>
      </c>
      <c r="L337" s="57"/>
      <c r="S337" s="9">
        <f>ROUND((Source!FX186/100)*((ROUND(Source!AF186*Source!I186,1)+ROUND(Source!AE186*Source!I186,1))),1)</f>
        <v>0</v>
      </c>
      <c r="T337" s="9">
        <f>Source!X186</f>
        <v>0</v>
      </c>
      <c r="U337" s="9">
        <f>ROUND((Source!FY186/100)*((ROUND(Source!AF186*Source!I186,1)+ROUND(Source!AE186*Source!I186,1))),1)</f>
        <v>0</v>
      </c>
      <c r="V337" s="9">
        <f>Source!Y186</f>
        <v>0</v>
      </c>
      <c r="W337" s="9">
        <f>IF(Source!BI186&lt;=1,H337,0)</f>
        <v>0</v>
      </c>
      <c r="X337" s="9">
        <f>IF(Source!BI186=2,H337,0)</f>
        <v>336.3</v>
      </c>
      <c r="Y337" s="9">
        <f>IF(Source!BI186=3,H337,0)</f>
        <v>0</v>
      </c>
      <c r="Z337" s="9">
        <f>IF(Source!BI186=4,H337,0)</f>
        <v>0</v>
      </c>
    </row>
    <row r="338" spans="1:26" s="9" customFormat="1" ht="11.25">
      <c r="A338" s="43"/>
      <c r="B338" s="14"/>
      <c r="C338" s="14"/>
      <c r="D338" s="14"/>
      <c r="E338" s="14"/>
      <c r="F338" s="14"/>
      <c r="G338" s="87">
        <f>H330+H331+H333+H334+H335+SUM(H337:H337)</f>
        <v>913.3</v>
      </c>
      <c r="H338" s="87"/>
      <c r="I338" s="14"/>
      <c r="J338" s="87">
        <f>K330+K331+K333+K334+K335+SUM(K337:K337)</f>
        <v>7333</v>
      </c>
      <c r="K338" s="87"/>
      <c r="L338" s="56">
        <f>Source!U185</f>
        <v>6.972</v>
      </c>
      <c r="O338" s="28">
        <f>G338</f>
        <v>913.3</v>
      </c>
      <c r="P338" s="28">
        <f>J338</f>
        <v>7333</v>
      </c>
      <c r="Q338" s="10">
        <f>L338</f>
        <v>6.972</v>
      </c>
      <c r="W338" s="9">
        <f>IF(Source!BI185&lt;=1,H330+H331+H333+H334+H335,0)</f>
        <v>0</v>
      </c>
      <c r="X338" s="9">
        <f>IF(Source!BI185=2,H330+H331+H333+H334+H335,0)</f>
        <v>577</v>
      </c>
      <c r="Y338" s="9">
        <f>IF(Source!BI185=3,H330+H331+H333+H334+H335,0)</f>
        <v>0</v>
      </c>
      <c r="Z338" s="9">
        <f>IF(Source!BI185=4,H330+H331+H333+H334+H335,0)</f>
        <v>0</v>
      </c>
    </row>
    <row r="339" spans="1:12" s="9" customFormat="1" ht="11.25">
      <c r="A339" s="4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44"/>
    </row>
    <row r="340" spans="1:12" s="9" customFormat="1" ht="11.25">
      <c r="A340" s="95" t="str">
        <f>CONCATENATE("Итого по разделу: ",IF(Source!G188&lt;&gt;"Новый раздел",Source!G188,""))</f>
        <v>Итого по разделу: Фундаменты под БКТП</v>
      </c>
      <c r="B340" s="96"/>
      <c r="C340" s="96"/>
      <c r="D340" s="96"/>
      <c r="E340" s="96"/>
      <c r="F340" s="96"/>
      <c r="G340" s="94">
        <f>SUM(O146:O339)</f>
        <v>42501.90000000001</v>
      </c>
      <c r="H340" s="94"/>
      <c r="I340" s="58"/>
      <c r="J340" s="94">
        <f>SUM(P146:P339)</f>
        <v>344025.9000000001</v>
      </c>
      <c r="K340" s="94"/>
      <c r="L340" s="56">
        <f>SUM(Q146:Q339)</f>
        <v>275.35627</v>
      </c>
    </row>
    <row r="341" spans="1:12" s="9" customFormat="1" ht="11.25">
      <c r="A341" s="43"/>
      <c r="B341" s="14"/>
      <c r="C341" s="73" t="str">
        <f>Source!H190</f>
        <v>Прямые затраты</v>
      </c>
      <c r="D341" s="73"/>
      <c r="E341" s="73"/>
      <c r="F341" s="73"/>
      <c r="G341" s="73"/>
      <c r="H341" s="73"/>
      <c r="I341" s="73"/>
      <c r="J341" s="86">
        <f>IF(Source!F190=0,"",Source!F190)</f>
        <v>248238.5</v>
      </c>
      <c r="K341" s="86"/>
      <c r="L341" s="44"/>
    </row>
    <row r="342" spans="1:12" s="9" customFormat="1" ht="11.25">
      <c r="A342" s="43"/>
      <c r="B342" s="14"/>
      <c r="C342" s="73" t="str">
        <f>Source!H191</f>
        <v>Стоимость материальных ресурсов (всего)</v>
      </c>
      <c r="D342" s="73"/>
      <c r="E342" s="73"/>
      <c r="F342" s="73"/>
      <c r="G342" s="73"/>
      <c r="H342" s="73"/>
      <c r="I342" s="73"/>
      <c r="J342" s="86">
        <f>IF(Source!F191=0,"",Source!F191)</f>
        <v>177334.9</v>
      </c>
      <c r="K342" s="86"/>
      <c r="L342" s="44"/>
    </row>
    <row r="343" spans="1:12" s="9" customFormat="1" ht="11.25">
      <c r="A343" s="43"/>
      <c r="B343" s="14"/>
      <c r="C343" s="73" t="str">
        <f>Source!H194</f>
        <v>Стоимость материалов (всего)</v>
      </c>
      <c r="D343" s="73"/>
      <c r="E343" s="73"/>
      <c r="F343" s="73"/>
      <c r="G343" s="73"/>
      <c r="H343" s="73"/>
      <c r="I343" s="73"/>
      <c r="J343" s="86">
        <f>IF(Source!F194=0,"",Source!F194)</f>
        <v>177334.9</v>
      </c>
      <c r="K343" s="86"/>
      <c r="L343" s="44"/>
    </row>
    <row r="344" spans="1:12" s="9" customFormat="1" ht="11.25">
      <c r="A344" s="43"/>
      <c r="B344" s="14"/>
      <c r="C344" s="73" t="str">
        <f>Source!H200</f>
        <v>Эксплуатация машин</v>
      </c>
      <c r="D344" s="73"/>
      <c r="E344" s="73"/>
      <c r="F344" s="73"/>
      <c r="G344" s="73"/>
      <c r="H344" s="73"/>
      <c r="I344" s="73"/>
      <c r="J344" s="86">
        <f>IF(Source!F200=0,"",Source!F200)</f>
        <v>20426.2</v>
      </c>
      <c r="K344" s="86"/>
      <c r="L344" s="44"/>
    </row>
    <row r="345" spans="1:12" s="9" customFormat="1" ht="11.25">
      <c r="A345" s="43"/>
      <c r="B345" s="14"/>
      <c r="C345" s="73" t="str">
        <f>Source!H202</f>
        <v>ЗП машинистов</v>
      </c>
      <c r="D345" s="73"/>
      <c r="E345" s="73"/>
      <c r="F345" s="73"/>
      <c r="G345" s="73"/>
      <c r="H345" s="73"/>
      <c r="I345" s="73"/>
      <c r="J345" s="86">
        <f>IF(Source!F202=0,"",Source!F202)</f>
        <v>6730</v>
      </c>
      <c r="K345" s="86"/>
      <c r="L345" s="44"/>
    </row>
    <row r="346" spans="1:12" s="9" customFormat="1" ht="11.25">
      <c r="A346" s="43"/>
      <c r="B346" s="14"/>
      <c r="C346" s="73" t="str">
        <f>Source!H203</f>
        <v>Основная ЗП рабочих</v>
      </c>
      <c r="D346" s="73"/>
      <c r="E346" s="73"/>
      <c r="F346" s="73"/>
      <c r="G346" s="73"/>
      <c r="H346" s="73"/>
      <c r="I346" s="73"/>
      <c r="J346" s="86">
        <f>IF(Source!F203=0,"",Source!F203)</f>
        <v>50477.4</v>
      </c>
      <c r="K346" s="86"/>
      <c r="L346" s="44"/>
    </row>
    <row r="347" spans="1:12" s="9" customFormat="1" ht="11.25">
      <c r="A347" s="43"/>
      <c r="B347" s="14"/>
      <c r="C347" s="73" t="str">
        <f>Source!H205</f>
        <v>Строительные работы с НР и СП</v>
      </c>
      <c r="D347" s="73"/>
      <c r="E347" s="73"/>
      <c r="F347" s="73"/>
      <c r="G347" s="73"/>
      <c r="H347" s="73"/>
      <c r="I347" s="73"/>
      <c r="J347" s="86">
        <f>IF(Source!F205=0,"",Source!F205)</f>
        <v>326512</v>
      </c>
      <c r="K347" s="86"/>
      <c r="L347" s="44"/>
    </row>
    <row r="348" spans="1:12" s="9" customFormat="1" ht="11.25">
      <c r="A348" s="43"/>
      <c r="B348" s="14"/>
      <c r="C348" s="73" t="str">
        <f>Source!H206</f>
        <v>Монтажные работы с НР и СП</v>
      </c>
      <c r="D348" s="73"/>
      <c r="E348" s="73"/>
      <c r="F348" s="73"/>
      <c r="G348" s="73"/>
      <c r="H348" s="73"/>
      <c r="I348" s="73"/>
      <c r="J348" s="86">
        <f>IF(Source!F206=0,"",Source!F206)</f>
        <v>17513.9</v>
      </c>
      <c r="K348" s="86"/>
      <c r="L348" s="44"/>
    </row>
    <row r="349" spans="1:12" s="9" customFormat="1" ht="11.25">
      <c r="A349" s="43"/>
      <c r="B349" s="14"/>
      <c r="C349" s="73" t="str">
        <f>Source!H210</f>
        <v>Трудозатраты строителей</v>
      </c>
      <c r="D349" s="73"/>
      <c r="E349" s="73"/>
      <c r="F349" s="73"/>
      <c r="G349" s="73"/>
      <c r="H349" s="73"/>
      <c r="I349" s="73"/>
      <c r="J349" s="89">
        <f>IF(Source!F210=0,"",Source!F210)</f>
        <v>275.35627</v>
      </c>
      <c r="K349" s="89"/>
      <c r="L349" s="44"/>
    </row>
    <row r="350" spans="1:12" s="9" customFormat="1" ht="11.25">
      <c r="A350" s="43"/>
      <c r="B350" s="14"/>
      <c r="C350" s="73" t="str">
        <f>Source!H211</f>
        <v>Трудозатраты машинистов</v>
      </c>
      <c r="D350" s="73"/>
      <c r="E350" s="73"/>
      <c r="F350" s="73"/>
      <c r="G350" s="73"/>
      <c r="H350" s="73"/>
      <c r="I350" s="73"/>
      <c r="J350" s="89">
        <f>IF(Source!F211=0,"",Source!F211)</f>
        <v>26.606679999999997</v>
      </c>
      <c r="K350" s="89"/>
      <c r="L350" s="44"/>
    </row>
    <row r="351" spans="1:12" s="9" customFormat="1" ht="11.25">
      <c r="A351" s="43"/>
      <c r="B351" s="14"/>
      <c r="C351" s="73" t="str">
        <f>Source!H213</f>
        <v>Накладные расходы</v>
      </c>
      <c r="D351" s="73"/>
      <c r="E351" s="73"/>
      <c r="F351" s="73"/>
      <c r="G351" s="73"/>
      <c r="H351" s="73"/>
      <c r="I351" s="73"/>
      <c r="J351" s="86">
        <f>IF(Source!F213=0,"",Source!F213)</f>
        <v>60549.3</v>
      </c>
      <c r="K351" s="86"/>
      <c r="L351" s="44"/>
    </row>
    <row r="352" spans="1:12" s="9" customFormat="1" ht="11.25">
      <c r="A352" s="43"/>
      <c r="B352" s="14"/>
      <c r="C352" s="73" t="str">
        <f>Source!H214</f>
        <v>Сметная прибыль</v>
      </c>
      <c r="D352" s="73"/>
      <c r="E352" s="73"/>
      <c r="F352" s="73"/>
      <c r="G352" s="73"/>
      <c r="H352" s="73"/>
      <c r="I352" s="73"/>
      <c r="J352" s="86">
        <f>IF(Source!F214=0,"",Source!F214)</f>
        <v>35238.1</v>
      </c>
      <c r="K352" s="86"/>
      <c r="L352" s="44"/>
    </row>
    <row r="353" spans="1:12" s="9" customFormat="1" ht="11.25">
      <c r="A353" s="43"/>
      <c r="B353" s="14"/>
      <c r="C353" s="73" t="str">
        <f>Source!H215</f>
        <v>Всего с НР и СП</v>
      </c>
      <c r="D353" s="73"/>
      <c r="E353" s="73"/>
      <c r="F353" s="73"/>
      <c r="G353" s="73"/>
      <c r="H353" s="73"/>
      <c r="I353" s="73"/>
      <c r="J353" s="86">
        <f>IF(Source!F215=0,"",Source!F215)</f>
        <v>344025.9</v>
      </c>
      <c r="K353" s="86"/>
      <c r="L353" s="44"/>
    </row>
    <row r="354" spans="1:12" s="9" customFormat="1" ht="11.25">
      <c r="A354" s="4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44"/>
    </row>
    <row r="355" spans="1:12" s="9" customFormat="1" ht="11.25">
      <c r="A355" s="92" t="str">
        <f>CONCATENATE("Раздел: ",IF(Source!G217&lt;&gt;"Новый раздел",Source!G217,""))</f>
        <v>Раздел: Пусконаладочные работы. Измерение</v>
      </c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93"/>
    </row>
    <row r="356" spans="1:22" s="9" customFormat="1" ht="78.75">
      <c r="A356" s="45" t="str">
        <f>Source!E221</f>
        <v>37</v>
      </c>
      <c r="B356" s="46" t="str">
        <f>Source!BJ221</f>
        <v>ФЕРп-2001, п01-02-002-02, приказ Минстроя России №1039/пр от 30.12.2016г.</v>
      </c>
      <c r="C356" s="46" t="str">
        <f>Source!G221</f>
        <v>Трансформатор силовой трехфазный масляный двухобмоточный напряжением до 11 кВ, мощностью до 1,6 МВА</v>
      </c>
      <c r="D356" s="47" t="str">
        <f>Source!H221</f>
        <v>ШТ</v>
      </c>
      <c r="E356" s="48">
        <f>Source!I221</f>
        <v>2</v>
      </c>
      <c r="F356" s="49">
        <f>Source!AL221+Source!AM221+Source!AO221</f>
        <v>139.99</v>
      </c>
      <c r="G356" s="50"/>
      <c r="H356" s="51"/>
      <c r="I356" s="50" t="str">
        <f>Source!BO221</f>
        <v>РСЦ с 1.09.2017г.</v>
      </c>
      <c r="J356" s="50"/>
      <c r="K356" s="51"/>
      <c r="L356" s="52"/>
      <c r="S356" s="9">
        <f>ROUND((Source!FX221/100)*((ROUND(Source!AF221*Source!I221,1)+ROUND(Source!AE221*Source!I221,1))),1)</f>
        <v>182</v>
      </c>
      <c r="T356" s="9">
        <f>Source!X221</f>
        <v>3073.6</v>
      </c>
      <c r="U356" s="9">
        <f>ROUND((Source!FY221/100)*((ROUND(Source!AF221*Source!I221,1)+ROUND(Source!AE221*Source!I221,1))),1)</f>
        <v>112</v>
      </c>
      <c r="V356" s="9">
        <f>Source!Y221</f>
        <v>1788.3</v>
      </c>
    </row>
    <row r="357" spans="1:18" s="9" customFormat="1" ht="11.25">
      <c r="A357" s="45"/>
      <c r="B357" s="46"/>
      <c r="C357" s="46" t="s">
        <v>758</v>
      </c>
      <c r="D357" s="47"/>
      <c r="E357" s="48"/>
      <c r="F357" s="49">
        <f>Source!AO221</f>
        <v>139.99</v>
      </c>
      <c r="G357" s="50">
        <f>Source!DG221</f>
      </c>
      <c r="H357" s="51">
        <f>ROUND(Source!AF221*Source!I221,1)</f>
        <v>280</v>
      </c>
      <c r="I357" s="50"/>
      <c r="J357" s="50">
        <f>IF(Source!BA221&lt;&gt;0,Source!BA221,1)</f>
        <v>19.96</v>
      </c>
      <c r="K357" s="51">
        <f>Source!S221</f>
        <v>5588.4</v>
      </c>
      <c r="L357" s="52"/>
      <c r="R357" s="9">
        <f>H357</f>
        <v>280</v>
      </c>
    </row>
    <row r="358" spans="1:12" s="9" customFormat="1" ht="11.25">
      <c r="A358" s="45"/>
      <c r="B358" s="46"/>
      <c r="C358" s="46" t="s">
        <v>759</v>
      </c>
      <c r="D358" s="47" t="s">
        <v>760</v>
      </c>
      <c r="E358" s="48">
        <f>Source!BZ221</f>
        <v>65</v>
      </c>
      <c r="F358" s="53"/>
      <c r="G358" s="50"/>
      <c r="H358" s="51">
        <f>SUM(S356:S360)</f>
        <v>182</v>
      </c>
      <c r="I358" s="50" t="str">
        <f>CONCATENATE(Source!FX221,Source!FV221,"=")</f>
        <v>65*0,85=</v>
      </c>
      <c r="J358" s="13">
        <f>Source!AT221</f>
        <v>55</v>
      </c>
      <c r="K358" s="51">
        <f>SUM(T356:T360)</f>
        <v>3073.6</v>
      </c>
      <c r="L358" s="52"/>
    </row>
    <row r="359" spans="1:12" s="9" customFormat="1" ht="11.25">
      <c r="A359" s="45"/>
      <c r="B359" s="46"/>
      <c r="C359" s="46" t="s">
        <v>761</v>
      </c>
      <c r="D359" s="47" t="s">
        <v>760</v>
      </c>
      <c r="E359" s="48">
        <f>Source!CA221</f>
        <v>40</v>
      </c>
      <c r="F359" s="53"/>
      <c r="G359" s="50"/>
      <c r="H359" s="51">
        <f>SUM(U356:U360)</f>
        <v>112</v>
      </c>
      <c r="I359" s="50" t="str">
        <f>CONCATENATE(Source!FY221,Source!FW221,"=")</f>
        <v>40*0,8=</v>
      </c>
      <c r="J359" s="13">
        <f>Source!AU221</f>
        <v>32</v>
      </c>
      <c r="K359" s="51">
        <f>SUM(V356:V360)</f>
        <v>1788.3</v>
      </c>
      <c r="L359" s="52"/>
    </row>
    <row r="360" spans="1:12" s="9" customFormat="1" ht="11.25">
      <c r="A360" s="54"/>
      <c r="B360" s="22"/>
      <c r="C360" s="22" t="s">
        <v>762</v>
      </c>
      <c r="D360" s="23" t="s">
        <v>763</v>
      </c>
      <c r="E360" s="24">
        <f>Source!AQ221</f>
        <v>10.8</v>
      </c>
      <c r="F360" s="25"/>
      <c r="G360" s="26">
        <f>Source!DI221</f>
      </c>
      <c r="H360" s="27"/>
      <c r="I360" s="26"/>
      <c r="J360" s="26"/>
      <c r="K360" s="27"/>
      <c r="L360" s="55">
        <f>Source!U221</f>
        <v>21.6</v>
      </c>
    </row>
    <row r="361" spans="1:26" s="9" customFormat="1" ht="11.25">
      <c r="A361" s="43"/>
      <c r="B361" s="14"/>
      <c r="C361" s="14"/>
      <c r="D361" s="14"/>
      <c r="E361" s="14"/>
      <c r="F361" s="14"/>
      <c r="G361" s="87">
        <f>H357+H358+H359</f>
        <v>574</v>
      </c>
      <c r="H361" s="87"/>
      <c r="I361" s="14"/>
      <c r="J361" s="87">
        <f>K357+K358+K359</f>
        <v>10450.3</v>
      </c>
      <c r="K361" s="87"/>
      <c r="L361" s="56">
        <f>Source!U221</f>
        <v>21.6</v>
      </c>
      <c r="O361" s="28">
        <f>G361</f>
        <v>574</v>
      </c>
      <c r="P361" s="28">
        <f>J361</f>
        <v>10450.3</v>
      </c>
      <c r="Q361" s="10">
        <f>L361</f>
        <v>21.6</v>
      </c>
      <c r="W361" s="9">
        <f>IF(Source!BI221&lt;=1,H357+H358+H359,0)</f>
        <v>0</v>
      </c>
      <c r="X361" s="9">
        <f>IF(Source!BI221=2,H357+H358+H359,0)</f>
        <v>0</v>
      </c>
      <c r="Y361" s="9">
        <f>IF(Source!BI221=3,H357+H358+H359,0)</f>
        <v>0</v>
      </c>
      <c r="Z361" s="9">
        <f>IF(Source!BI221=4,H357+H358+H359,0)</f>
        <v>574</v>
      </c>
    </row>
    <row r="362" spans="1:22" s="9" customFormat="1" ht="78.75">
      <c r="A362" s="45" t="str">
        <f>Source!E222</f>
        <v>38</v>
      </c>
      <c r="B362" s="46" t="str">
        <f>Source!BJ222</f>
        <v>ФЕРп-2001, п01-12-020-01, приказ Минстроя России №1039/пр от 30.12.2016г.</v>
      </c>
      <c r="C362" s="46" t="str">
        <f>Source!G222</f>
        <v>Испытание сборных и соединительных шин напряжением до 11 кВ</v>
      </c>
      <c r="D362" s="47" t="str">
        <f>Source!H222</f>
        <v>испытание</v>
      </c>
      <c r="E362" s="48">
        <f>Source!I222</f>
        <v>1</v>
      </c>
      <c r="F362" s="49">
        <f>Source!AL222+Source!AM222+Source!AO222</f>
        <v>83.55</v>
      </c>
      <c r="G362" s="50"/>
      <c r="H362" s="51"/>
      <c r="I362" s="50" t="str">
        <f>Source!BO222</f>
        <v>РСЦ с 1.09.2017г.</v>
      </c>
      <c r="J362" s="50"/>
      <c r="K362" s="51"/>
      <c r="L362" s="52"/>
      <c r="S362" s="9">
        <f>ROUND((Source!FX222/100)*((ROUND(Source!AF222*Source!I222,1)+ROUND(Source!AE222*Source!I222,1))),1)</f>
        <v>54.3</v>
      </c>
      <c r="T362" s="9">
        <f>Source!X222</f>
        <v>917.2</v>
      </c>
      <c r="U362" s="9">
        <f>ROUND((Source!FY222/100)*((ROUND(Source!AF222*Source!I222,1)+ROUND(Source!AE222*Source!I222,1))),1)</f>
        <v>33.4</v>
      </c>
      <c r="V362" s="9">
        <f>Source!Y222</f>
        <v>533.7</v>
      </c>
    </row>
    <row r="363" spans="1:18" s="9" customFormat="1" ht="11.25">
      <c r="A363" s="45"/>
      <c r="B363" s="46"/>
      <c r="C363" s="46" t="s">
        <v>758</v>
      </c>
      <c r="D363" s="47"/>
      <c r="E363" s="48"/>
      <c r="F363" s="49">
        <f>Source!AO222</f>
        <v>83.55</v>
      </c>
      <c r="G363" s="50">
        <f>Source!DG222</f>
      </c>
      <c r="H363" s="51">
        <f>ROUND(Source!AF222*Source!I222,1)</f>
        <v>83.6</v>
      </c>
      <c r="I363" s="50"/>
      <c r="J363" s="50">
        <f>IF(Source!BA222&lt;&gt;0,Source!BA222,1)</f>
        <v>19.96</v>
      </c>
      <c r="K363" s="51">
        <f>Source!S222</f>
        <v>1667.7</v>
      </c>
      <c r="L363" s="52"/>
      <c r="R363" s="9">
        <f>H363</f>
        <v>83.6</v>
      </c>
    </row>
    <row r="364" spans="1:12" s="9" customFormat="1" ht="11.25">
      <c r="A364" s="45"/>
      <c r="B364" s="46"/>
      <c r="C364" s="46" t="s">
        <v>759</v>
      </c>
      <c r="D364" s="47" t="s">
        <v>760</v>
      </c>
      <c r="E364" s="48">
        <f>Source!BZ222</f>
        <v>65</v>
      </c>
      <c r="F364" s="53"/>
      <c r="G364" s="50"/>
      <c r="H364" s="51">
        <f>SUM(S362:S366)</f>
        <v>54.3</v>
      </c>
      <c r="I364" s="50" t="str">
        <f>CONCATENATE(Source!FX222,Source!FV222,"=")</f>
        <v>65*0,85=</v>
      </c>
      <c r="J364" s="13">
        <f>Source!AT222</f>
        <v>55</v>
      </c>
      <c r="K364" s="51">
        <f>SUM(T362:T366)</f>
        <v>917.2</v>
      </c>
      <c r="L364" s="52"/>
    </row>
    <row r="365" spans="1:12" s="9" customFormat="1" ht="11.25">
      <c r="A365" s="45"/>
      <c r="B365" s="46"/>
      <c r="C365" s="46" t="s">
        <v>761</v>
      </c>
      <c r="D365" s="47" t="s">
        <v>760</v>
      </c>
      <c r="E365" s="48">
        <f>Source!CA222</f>
        <v>40</v>
      </c>
      <c r="F365" s="53"/>
      <c r="G365" s="50"/>
      <c r="H365" s="51">
        <f>SUM(U362:U366)</f>
        <v>33.4</v>
      </c>
      <c r="I365" s="50" t="str">
        <f>CONCATENATE(Source!FY222,Source!FW222,"=")</f>
        <v>40*0,8=</v>
      </c>
      <c r="J365" s="13">
        <f>Source!AU222</f>
        <v>32</v>
      </c>
      <c r="K365" s="51">
        <f>SUM(V362:V366)</f>
        <v>533.7</v>
      </c>
      <c r="L365" s="52"/>
    </row>
    <row r="366" spans="1:12" s="9" customFormat="1" ht="11.25">
      <c r="A366" s="54"/>
      <c r="B366" s="22"/>
      <c r="C366" s="22" t="s">
        <v>762</v>
      </c>
      <c r="D366" s="23" t="s">
        <v>763</v>
      </c>
      <c r="E366" s="24">
        <f>Source!AQ222</f>
        <v>7.29</v>
      </c>
      <c r="F366" s="25"/>
      <c r="G366" s="26">
        <f>Source!DI222</f>
      </c>
      <c r="H366" s="27"/>
      <c r="I366" s="26"/>
      <c r="J366" s="26"/>
      <c r="K366" s="27"/>
      <c r="L366" s="55">
        <f>Source!U222</f>
        <v>7.29</v>
      </c>
    </row>
    <row r="367" spans="1:26" s="9" customFormat="1" ht="11.25">
      <c r="A367" s="43"/>
      <c r="B367" s="14"/>
      <c r="C367" s="14"/>
      <c r="D367" s="14"/>
      <c r="E367" s="14"/>
      <c r="F367" s="14"/>
      <c r="G367" s="87">
        <f>H363+H364+H365</f>
        <v>171.29999999999998</v>
      </c>
      <c r="H367" s="87"/>
      <c r="I367" s="14"/>
      <c r="J367" s="87">
        <f>K363+K364+K365</f>
        <v>3118.6000000000004</v>
      </c>
      <c r="K367" s="87"/>
      <c r="L367" s="56">
        <f>Source!U222</f>
        <v>7.29</v>
      </c>
      <c r="O367" s="28">
        <f>G367</f>
        <v>171.29999999999998</v>
      </c>
      <c r="P367" s="28">
        <f>J367</f>
        <v>3118.6000000000004</v>
      </c>
      <c r="Q367" s="10">
        <f>L367</f>
        <v>7.29</v>
      </c>
      <c r="W367" s="9">
        <f>IF(Source!BI222&lt;=1,H363+H364+H365,0)</f>
        <v>0</v>
      </c>
      <c r="X367" s="9">
        <f>IF(Source!BI222=2,H363+H364+H365,0)</f>
        <v>0</v>
      </c>
      <c r="Y367" s="9">
        <f>IF(Source!BI222=3,H363+H364+H365,0)</f>
        <v>0</v>
      </c>
      <c r="Z367" s="9">
        <f>IF(Source!BI222=4,H363+H364+H365,0)</f>
        <v>171.29999999999998</v>
      </c>
    </row>
    <row r="368" spans="1:22" s="9" customFormat="1" ht="78.75">
      <c r="A368" s="45" t="str">
        <f>Source!E223</f>
        <v>39</v>
      </c>
      <c r="B368" s="46" t="str">
        <f>Source!BJ223</f>
        <v>ФЕРп-2001, п01-02-017-01, приказ Минстроя России №1039/пр от 30.12.2016г.</v>
      </c>
      <c r="C368" s="46" t="str">
        <f>Source!G223</f>
        <v>Трансформатор тока измерительный выносной напряжением до 1 кВ</v>
      </c>
      <c r="D368" s="47" t="str">
        <f>Source!H223</f>
        <v>ШТ</v>
      </c>
      <c r="E368" s="48">
        <f>Source!I223</f>
        <v>10</v>
      </c>
      <c r="F368" s="49">
        <f>Source!AL223+Source!AM223+Source!AO223</f>
        <v>16.36</v>
      </c>
      <c r="G368" s="50"/>
      <c r="H368" s="51"/>
      <c r="I368" s="50" t="str">
        <f>Source!BO223</f>
        <v>РСЦ с 1.09.2017г.</v>
      </c>
      <c r="J368" s="50"/>
      <c r="K368" s="51"/>
      <c r="L368" s="52"/>
      <c r="S368" s="9">
        <f>ROUND((Source!FX223/100)*((ROUND(Source!AF223*Source!I223,1)+ROUND(Source!AE223*Source!I223,1))),1)</f>
        <v>106.3</v>
      </c>
      <c r="T368" s="9">
        <f>Source!X223</f>
        <v>1796</v>
      </c>
      <c r="U368" s="9">
        <f>ROUND((Source!FY223/100)*((ROUND(Source!AF223*Source!I223,1)+ROUND(Source!AE223*Source!I223,1))),1)</f>
        <v>65.4</v>
      </c>
      <c r="V368" s="9">
        <f>Source!Y223</f>
        <v>1045</v>
      </c>
    </row>
    <row r="369" spans="1:18" s="9" customFormat="1" ht="11.25">
      <c r="A369" s="45"/>
      <c r="B369" s="46"/>
      <c r="C369" s="46" t="s">
        <v>758</v>
      </c>
      <c r="D369" s="47"/>
      <c r="E369" s="48"/>
      <c r="F369" s="49">
        <f>Source!AO223</f>
        <v>16.36</v>
      </c>
      <c r="G369" s="50">
        <f>Source!DG223</f>
      </c>
      <c r="H369" s="51">
        <f>ROUND(Source!AF223*Source!I223,1)</f>
        <v>163.6</v>
      </c>
      <c r="I369" s="50"/>
      <c r="J369" s="50">
        <f>IF(Source!BA223&lt;&gt;0,Source!BA223,1)</f>
        <v>19.96</v>
      </c>
      <c r="K369" s="51">
        <f>Source!S223</f>
        <v>3265.5</v>
      </c>
      <c r="L369" s="52"/>
      <c r="R369" s="9">
        <f>H369</f>
        <v>163.6</v>
      </c>
    </row>
    <row r="370" spans="1:12" s="9" customFormat="1" ht="11.25">
      <c r="A370" s="45"/>
      <c r="B370" s="46"/>
      <c r="C370" s="46" t="s">
        <v>759</v>
      </c>
      <c r="D370" s="47" t="s">
        <v>760</v>
      </c>
      <c r="E370" s="48">
        <f>Source!BZ223</f>
        <v>65</v>
      </c>
      <c r="F370" s="53"/>
      <c r="G370" s="50"/>
      <c r="H370" s="51">
        <f>SUM(S368:S372)</f>
        <v>106.3</v>
      </c>
      <c r="I370" s="50" t="str">
        <f>CONCATENATE(Source!FX223,Source!FV223,"=")</f>
        <v>65*0,85=</v>
      </c>
      <c r="J370" s="13">
        <f>Source!AT223</f>
        <v>55</v>
      </c>
      <c r="K370" s="51">
        <f>SUM(T368:T372)</f>
        <v>1796</v>
      </c>
      <c r="L370" s="52"/>
    </row>
    <row r="371" spans="1:12" s="9" customFormat="1" ht="11.25">
      <c r="A371" s="45"/>
      <c r="B371" s="46"/>
      <c r="C371" s="46" t="s">
        <v>761</v>
      </c>
      <c r="D371" s="47" t="s">
        <v>760</v>
      </c>
      <c r="E371" s="48">
        <f>Source!CA223</f>
        <v>40</v>
      </c>
      <c r="F371" s="53"/>
      <c r="G371" s="50"/>
      <c r="H371" s="51">
        <f>SUM(U368:U372)</f>
        <v>65.4</v>
      </c>
      <c r="I371" s="50" t="str">
        <f>CONCATENATE(Source!FY223,Source!FW223,"=")</f>
        <v>40*0,8=</v>
      </c>
      <c r="J371" s="13">
        <f>Source!AU223</f>
        <v>32</v>
      </c>
      <c r="K371" s="51">
        <f>SUM(V368:V372)</f>
        <v>1045</v>
      </c>
      <c r="L371" s="52"/>
    </row>
    <row r="372" spans="1:12" s="9" customFormat="1" ht="11.25">
      <c r="A372" s="54"/>
      <c r="B372" s="22"/>
      <c r="C372" s="22" t="s">
        <v>762</v>
      </c>
      <c r="D372" s="23" t="s">
        <v>763</v>
      </c>
      <c r="E372" s="24">
        <f>Source!AQ223</f>
        <v>1.35</v>
      </c>
      <c r="F372" s="25"/>
      <c r="G372" s="26">
        <f>Source!DI223</f>
      </c>
      <c r="H372" s="27"/>
      <c r="I372" s="26"/>
      <c r="J372" s="26"/>
      <c r="K372" s="27"/>
      <c r="L372" s="55">
        <f>Source!U223</f>
        <v>13.5</v>
      </c>
    </row>
    <row r="373" spans="1:26" s="9" customFormat="1" ht="11.25">
      <c r="A373" s="43"/>
      <c r="B373" s="14"/>
      <c r="C373" s="14"/>
      <c r="D373" s="14"/>
      <c r="E373" s="14"/>
      <c r="F373" s="14"/>
      <c r="G373" s="87">
        <f>H369+H370+H371</f>
        <v>335.29999999999995</v>
      </c>
      <c r="H373" s="87"/>
      <c r="I373" s="14"/>
      <c r="J373" s="87">
        <f>K369+K370+K371</f>
        <v>6106.5</v>
      </c>
      <c r="K373" s="87"/>
      <c r="L373" s="56">
        <f>Source!U223</f>
        <v>13.5</v>
      </c>
      <c r="O373" s="28">
        <f>G373</f>
        <v>335.29999999999995</v>
      </c>
      <c r="P373" s="28">
        <f>J373</f>
        <v>6106.5</v>
      </c>
      <c r="Q373" s="10">
        <f>L373</f>
        <v>13.5</v>
      </c>
      <c r="W373" s="9">
        <f>IF(Source!BI223&lt;=1,H369+H370+H371,0)</f>
        <v>0</v>
      </c>
      <c r="X373" s="9">
        <f>IF(Source!BI223=2,H369+H370+H371,0)</f>
        <v>0</v>
      </c>
      <c r="Y373" s="9">
        <f>IF(Source!BI223=3,H369+H370+H371,0)</f>
        <v>0</v>
      </c>
      <c r="Z373" s="9">
        <f>IF(Source!BI223=4,H369+H370+H371,0)</f>
        <v>335.29999999999995</v>
      </c>
    </row>
    <row r="374" spans="1:22" s="9" customFormat="1" ht="78.75">
      <c r="A374" s="45" t="str">
        <f>Source!E224</f>
        <v>40</v>
      </c>
      <c r="B374" s="46" t="str">
        <f>Source!BJ224</f>
        <v>ФЕРп-2001, п01-12-010-02, приказ Минстроя России №1039/пр от 30.12.2016г.</v>
      </c>
      <c r="C374" s="46" t="str">
        <f>Source!G224</f>
        <v>Испытание первичной обмотки трансформатора измерительного</v>
      </c>
      <c r="D374" s="47" t="str">
        <f>Source!H224</f>
        <v>испытание</v>
      </c>
      <c r="E374" s="48">
        <f>Source!I224</f>
        <v>8</v>
      </c>
      <c r="F374" s="49">
        <f>Source!AL224+Source!AM224+Source!AO224</f>
        <v>31.33</v>
      </c>
      <c r="G374" s="50"/>
      <c r="H374" s="51"/>
      <c r="I374" s="50" t="str">
        <f>Source!BO224</f>
        <v>РСЦ с 1.09.2017г.</v>
      </c>
      <c r="J374" s="50"/>
      <c r="K374" s="51"/>
      <c r="L374" s="52"/>
      <c r="S374" s="9">
        <f>ROUND((Source!FX224/100)*((ROUND(Source!AF224*Source!I224,1)+ROUND(Source!AE224*Source!I224,1))),1)</f>
        <v>162.9</v>
      </c>
      <c r="T374" s="9">
        <f>Source!X224</f>
        <v>2751.5</v>
      </c>
      <c r="U374" s="9">
        <f>ROUND((Source!FY224/100)*((ROUND(Source!AF224*Source!I224,1)+ROUND(Source!AE224*Source!I224,1))),1)</f>
        <v>100.2</v>
      </c>
      <c r="V374" s="9">
        <f>Source!Y224</f>
        <v>1600.9</v>
      </c>
    </row>
    <row r="375" spans="1:18" s="9" customFormat="1" ht="11.25">
      <c r="A375" s="45"/>
      <c r="B375" s="46"/>
      <c r="C375" s="46" t="s">
        <v>758</v>
      </c>
      <c r="D375" s="47"/>
      <c r="E375" s="48"/>
      <c r="F375" s="49">
        <f>Source!AO224</f>
        <v>31.33</v>
      </c>
      <c r="G375" s="50">
        <f>Source!DG224</f>
      </c>
      <c r="H375" s="51">
        <f>ROUND(Source!AF224*Source!I224,1)</f>
        <v>250.6</v>
      </c>
      <c r="I375" s="50"/>
      <c r="J375" s="50">
        <f>IF(Source!BA224&lt;&gt;0,Source!BA224,1)</f>
        <v>19.96</v>
      </c>
      <c r="K375" s="51">
        <f>Source!S224</f>
        <v>5002.8</v>
      </c>
      <c r="L375" s="52"/>
      <c r="R375" s="9">
        <f>H375</f>
        <v>250.6</v>
      </c>
    </row>
    <row r="376" spans="1:12" s="9" customFormat="1" ht="11.25">
      <c r="A376" s="45"/>
      <c r="B376" s="46"/>
      <c r="C376" s="46" t="s">
        <v>759</v>
      </c>
      <c r="D376" s="47" t="s">
        <v>760</v>
      </c>
      <c r="E376" s="48">
        <f>Source!BZ224</f>
        <v>65</v>
      </c>
      <c r="F376" s="53"/>
      <c r="G376" s="50"/>
      <c r="H376" s="51">
        <f>SUM(S374:S378)</f>
        <v>162.9</v>
      </c>
      <c r="I376" s="50" t="str">
        <f>CONCATENATE(Source!FX224,Source!FV224,"=")</f>
        <v>65*0,85=</v>
      </c>
      <c r="J376" s="13">
        <f>Source!AT224</f>
        <v>55</v>
      </c>
      <c r="K376" s="51">
        <f>SUM(T374:T378)</f>
        <v>2751.5</v>
      </c>
      <c r="L376" s="52"/>
    </row>
    <row r="377" spans="1:12" s="9" customFormat="1" ht="11.25">
      <c r="A377" s="45"/>
      <c r="B377" s="46"/>
      <c r="C377" s="46" t="s">
        <v>761</v>
      </c>
      <c r="D377" s="47" t="s">
        <v>760</v>
      </c>
      <c r="E377" s="48">
        <f>Source!CA224</f>
        <v>40</v>
      </c>
      <c r="F377" s="53"/>
      <c r="G377" s="50"/>
      <c r="H377" s="51">
        <f>SUM(U374:U378)</f>
        <v>100.2</v>
      </c>
      <c r="I377" s="50" t="str">
        <f>CONCATENATE(Source!FY224,Source!FW224,"=")</f>
        <v>40*0,8=</v>
      </c>
      <c r="J377" s="13">
        <f>Source!AU224</f>
        <v>32</v>
      </c>
      <c r="K377" s="51">
        <f>SUM(V374:V378)</f>
        <v>1600.9</v>
      </c>
      <c r="L377" s="52"/>
    </row>
    <row r="378" spans="1:12" s="9" customFormat="1" ht="11.25">
      <c r="A378" s="54"/>
      <c r="B378" s="22"/>
      <c r="C378" s="22" t="s">
        <v>762</v>
      </c>
      <c r="D378" s="23" t="s">
        <v>763</v>
      </c>
      <c r="E378" s="24">
        <f>Source!AQ224</f>
        <v>2.43</v>
      </c>
      <c r="F378" s="25"/>
      <c r="G378" s="26">
        <f>Source!DI224</f>
      </c>
      <c r="H378" s="27"/>
      <c r="I378" s="26"/>
      <c r="J378" s="26"/>
      <c r="K378" s="27"/>
      <c r="L378" s="55">
        <f>Source!U224</f>
        <v>19.44</v>
      </c>
    </row>
    <row r="379" spans="1:26" s="9" customFormat="1" ht="11.25">
      <c r="A379" s="43"/>
      <c r="B379" s="14"/>
      <c r="C379" s="14"/>
      <c r="D379" s="14"/>
      <c r="E379" s="14"/>
      <c r="F379" s="14"/>
      <c r="G379" s="87">
        <f>H375+H376+H377</f>
        <v>513.7</v>
      </c>
      <c r="H379" s="87"/>
      <c r="I379" s="14"/>
      <c r="J379" s="87">
        <f>K375+K376+K377</f>
        <v>9355.2</v>
      </c>
      <c r="K379" s="87"/>
      <c r="L379" s="56">
        <f>Source!U224</f>
        <v>19.44</v>
      </c>
      <c r="O379" s="28">
        <f>G379</f>
        <v>513.7</v>
      </c>
      <c r="P379" s="28">
        <f>J379</f>
        <v>9355.2</v>
      </c>
      <c r="Q379" s="10">
        <f>L379</f>
        <v>19.44</v>
      </c>
      <c r="W379" s="9">
        <f>IF(Source!BI224&lt;=1,H375+H376+H377,0)</f>
        <v>0</v>
      </c>
      <c r="X379" s="9">
        <f>IF(Source!BI224=2,H375+H376+H377,0)</f>
        <v>0</v>
      </c>
      <c r="Y379" s="9">
        <f>IF(Source!BI224=3,H375+H376+H377,0)</f>
        <v>0</v>
      </c>
      <c r="Z379" s="9">
        <f>IF(Source!BI224=4,H375+H376+H377,0)</f>
        <v>513.7</v>
      </c>
    </row>
    <row r="380" spans="1:22" s="9" customFormat="1" ht="78.75">
      <c r="A380" s="45" t="str">
        <f>Source!E225</f>
        <v>41</v>
      </c>
      <c r="B380" s="46" t="str">
        <f>Source!BJ225</f>
        <v>ФЕРп-2001, п01-12-010-03, приказ Минстроя России №1039/пр от 30.12.2016г.</v>
      </c>
      <c r="C380" s="46" t="str">
        <f>Source!G225</f>
        <v>Испытание вторичной обмотки трансформатора измерительного</v>
      </c>
      <c r="D380" s="47" t="str">
        <f>Source!H225</f>
        <v>испытание</v>
      </c>
      <c r="E380" s="48">
        <f>Source!I225</f>
        <v>8</v>
      </c>
      <c r="F380" s="49">
        <f>Source!AL225+Source!AM225+Source!AO225</f>
        <v>20.88</v>
      </c>
      <c r="G380" s="50"/>
      <c r="H380" s="51"/>
      <c r="I380" s="50" t="str">
        <f>Source!BO225</f>
        <v>РСЦ с 1.09.2017г.</v>
      </c>
      <c r="J380" s="50"/>
      <c r="K380" s="51"/>
      <c r="L380" s="52"/>
      <c r="S380" s="9">
        <f>ROUND((Source!FX225/100)*((ROUND(Source!AF225*Source!I225,1)+ROUND(Source!AE225*Source!I225,1))),1)</f>
        <v>108.6</v>
      </c>
      <c r="T380" s="9">
        <f>Source!X225</f>
        <v>1833.8</v>
      </c>
      <c r="U380" s="9">
        <f>ROUND((Source!FY225/100)*((ROUND(Source!AF225*Source!I225,1)+ROUND(Source!AE225*Source!I225,1))),1)</f>
        <v>66.8</v>
      </c>
      <c r="V380" s="9">
        <f>Source!Y225</f>
        <v>1066.9</v>
      </c>
    </row>
    <row r="381" spans="1:18" s="9" customFormat="1" ht="11.25">
      <c r="A381" s="45"/>
      <c r="B381" s="46"/>
      <c r="C381" s="46" t="s">
        <v>758</v>
      </c>
      <c r="D381" s="47"/>
      <c r="E381" s="48"/>
      <c r="F381" s="49">
        <f>Source!AO225</f>
        <v>20.88</v>
      </c>
      <c r="G381" s="50">
        <f>Source!DG225</f>
      </c>
      <c r="H381" s="51">
        <f>ROUND(Source!AF225*Source!I225,1)</f>
        <v>167</v>
      </c>
      <c r="I381" s="50"/>
      <c r="J381" s="50">
        <f>IF(Source!BA225&lt;&gt;0,Source!BA225,1)</f>
        <v>19.96</v>
      </c>
      <c r="K381" s="51">
        <f>Source!S225</f>
        <v>3334.1</v>
      </c>
      <c r="L381" s="52"/>
      <c r="R381" s="9">
        <f>H381</f>
        <v>167</v>
      </c>
    </row>
    <row r="382" spans="1:12" s="9" customFormat="1" ht="11.25">
      <c r="A382" s="45"/>
      <c r="B382" s="46"/>
      <c r="C382" s="46" t="s">
        <v>759</v>
      </c>
      <c r="D382" s="47" t="s">
        <v>760</v>
      </c>
      <c r="E382" s="48">
        <f>Source!BZ225</f>
        <v>65</v>
      </c>
      <c r="F382" s="53"/>
      <c r="G382" s="50"/>
      <c r="H382" s="51">
        <f>SUM(S380:S384)</f>
        <v>108.6</v>
      </c>
      <c r="I382" s="50" t="str">
        <f>CONCATENATE(Source!FX225,Source!FV225,"=")</f>
        <v>65*0,85=</v>
      </c>
      <c r="J382" s="13">
        <f>Source!AT225</f>
        <v>55</v>
      </c>
      <c r="K382" s="51">
        <f>SUM(T380:T384)</f>
        <v>1833.8</v>
      </c>
      <c r="L382" s="52"/>
    </row>
    <row r="383" spans="1:12" s="9" customFormat="1" ht="11.25">
      <c r="A383" s="45"/>
      <c r="B383" s="46"/>
      <c r="C383" s="46" t="s">
        <v>761</v>
      </c>
      <c r="D383" s="47" t="s">
        <v>760</v>
      </c>
      <c r="E383" s="48">
        <f>Source!CA225</f>
        <v>40</v>
      </c>
      <c r="F383" s="53"/>
      <c r="G383" s="50"/>
      <c r="H383" s="51">
        <f>SUM(U380:U384)</f>
        <v>66.8</v>
      </c>
      <c r="I383" s="50" t="str">
        <f>CONCATENATE(Source!FY225,Source!FW225,"=")</f>
        <v>40*0,8=</v>
      </c>
      <c r="J383" s="13">
        <f>Source!AU225</f>
        <v>32</v>
      </c>
      <c r="K383" s="51">
        <f>SUM(V380:V384)</f>
        <v>1066.9</v>
      </c>
      <c r="L383" s="52"/>
    </row>
    <row r="384" spans="1:12" s="9" customFormat="1" ht="11.25">
      <c r="A384" s="54"/>
      <c r="B384" s="22"/>
      <c r="C384" s="22" t="s">
        <v>762</v>
      </c>
      <c r="D384" s="23" t="s">
        <v>763</v>
      </c>
      <c r="E384" s="24">
        <f>Source!AQ225</f>
        <v>1.62</v>
      </c>
      <c r="F384" s="25"/>
      <c r="G384" s="26">
        <f>Source!DI225</f>
      </c>
      <c r="H384" s="27"/>
      <c r="I384" s="26"/>
      <c r="J384" s="26"/>
      <c r="K384" s="27"/>
      <c r="L384" s="55">
        <f>Source!U225</f>
        <v>12.96</v>
      </c>
    </row>
    <row r="385" spans="1:26" s="9" customFormat="1" ht="11.25">
      <c r="A385" s="43"/>
      <c r="B385" s="14"/>
      <c r="C385" s="14"/>
      <c r="D385" s="14"/>
      <c r="E385" s="14"/>
      <c r="F385" s="14"/>
      <c r="G385" s="87">
        <f>H381+H382+H383</f>
        <v>342.40000000000003</v>
      </c>
      <c r="H385" s="87"/>
      <c r="I385" s="14"/>
      <c r="J385" s="87">
        <f>K381+K382+K383</f>
        <v>6234.799999999999</v>
      </c>
      <c r="K385" s="87"/>
      <c r="L385" s="56">
        <f>Source!U225</f>
        <v>12.96</v>
      </c>
      <c r="O385" s="28">
        <f>G385</f>
        <v>342.40000000000003</v>
      </c>
      <c r="P385" s="28">
        <f>J385</f>
        <v>6234.799999999999</v>
      </c>
      <c r="Q385" s="10">
        <f>L385</f>
        <v>12.96</v>
      </c>
      <c r="W385" s="9">
        <f>IF(Source!BI225&lt;=1,H381+H382+H383,0)</f>
        <v>0</v>
      </c>
      <c r="X385" s="9">
        <f>IF(Source!BI225=2,H381+H382+H383,0)</f>
        <v>0</v>
      </c>
      <c r="Y385" s="9">
        <f>IF(Source!BI225=3,H381+H382+H383,0)</f>
        <v>0</v>
      </c>
      <c r="Z385" s="9">
        <f>IF(Source!BI225=4,H381+H382+H383,0)</f>
        <v>342.40000000000003</v>
      </c>
    </row>
    <row r="386" spans="1:22" s="9" customFormat="1" ht="78.75">
      <c r="A386" s="45" t="str">
        <f>Source!E226</f>
        <v>42</v>
      </c>
      <c r="B386" s="46" t="str">
        <f>Source!BJ226</f>
        <v>ФЕРп-2001, п01-03-002-11, приказ Минстроя России №1039/пр от 30.12.2016г.</v>
      </c>
      <c r="C386" s="46" t="str">
        <f>Source!G226</f>
        <v>Выключатель трехполюсный напряжением до 1 кВ с полупроводниковым расцепителем максимального тока, номинальный ток до 2500 А</v>
      </c>
      <c r="D386" s="47" t="str">
        <f>Source!H226</f>
        <v>ШТ</v>
      </c>
      <c r="E386" s="48">
        <f>Source!I226</f>
        <v>2</v>
      </c>
      <c r="F386" s="49">
        <f>Source!AL226+Source!AM226+Source!AO226</f>
        <v>135.28</v>
      </c>
      <c r="G386" s="50"/>
      <c r="H386" s="51"/>
      <c r="I386" s="50" t="str">
        <f>Source!BO226</f>
        <v>РСЦ с 1.09.2017г.</v>
      </c>
      <c r="J386" s="50"/>
      <c r="K386" s="51"/>
      <c r="L386" s="52"/>
      <c r="S386" s="9">
        <f>ROUND((Source!FX226/100)*((ROUND(Source!AF226*Source!I226,1)+ROUND(Source!AE226*Source!I226,1))),1)</f>
        <v>175.9</v>
      </c>
      <c r="T386" s="9">
        <f>Source!X226</f>
        <v>2970.2</v>
      </c>
      <c r="U386" s="9">
        <f>ROUND((Source!FY226/100)*((ROUND(Source!AF226*Source!I226,1)+ROUND(Source!AE226*Source!I226,1))),1)</f>
        <v>108.2</v>
      </c>
      <c r="V386" s="9">
        <f>Source!Y226</f>
        <v>1728.1</v>
      </c>
    </row>
    <row r="387" spans="1:18" s="9" customFormat="1" ht="11.25">
      <c r="A387" s="45"/>
      <c r="B387" s="46"/>
      <c r="C387" s="46" t="s">
        <v>758</v>
      </c>
      <c r="D387" s="47"/>
      <c r="E387" s="48"/>
      <c r="F387" s="49">
        <f>Source!AO226</f>
        <v>135.28</v>
      </c>
      <c r="G387" s="50">
        <f>Source!DG226</f>
      </c>
      <c r="H387" s="51">
        <f>ROUND(Source!AF226*Source!I226,1)</f>
        <v>270.6</v>
      </c>
      <c r="I387" s="50"/>
      <c r="J387" s="50">
        <f>IF(Source!BA226&lt;&gt;0,Source!BA226,1)</f>
        <v>19.96</v>
      </c>
      <c r="K387" s="51">
        <f>Source!S226</f>
        <v>5400.4</v>
      </c>
      <c r="L387" s="52"/>
      <c r="R387" s="9">
        <f>H387</f>
        <v>270.6</v>
      </c>
    </row>
    <row r="388" spans="1:12" s="9" customFormat="1" ht="11.25">
      <c r="A388" s="45"/>
      <c r="B388" s="46"/>
      <c r="C388" s="46" t="s">
        <v>759</v>
      </c>
      <c r="D388" s="47" t="s">
        <v>760</v>
      </c>
      <c r="E388" s="48">
        <f>Source!BZ226</f>
        <v>65</v>
      </c>
      <c r="F388" s="53"/>
      <c r="G388" s="50"/>
      <c r="H388" s="51">
        <f>SUM(S386:S390)</f>
        <v>175.9</v>
      </c>
      <c r="I388" s="50" t="str">
        <f>CONCATENATE(Source!FX226,Source!FV226,"=")</f>
        <v>65*0,85=</v>
      </c>
      <c r="J388" s="13">
        <f>Source!AT226</f>
        <v>55</v>
      </c>
      <c r="K388" s="51">
        <f>SUM(T386:T390)</f>
        <v>2970.2</v>
      </c>
      <c r="L388" s="52"/>
    </row>
    <row r="389" spans="1:12" s="9" customFormat="1" ht="11.25">
      <c r="A389" s="45"/>
      <c r="B389" s="46"/>
      <c r="C389" s="46" t="s">
        <v>761</v>
      </c>
      <c r="D389" s="47" t="s">
        <v>760</v>
      </c>
      <c r="E389" s="48">
        <f>Source!CA226</f>
        <v>40</v>
      </c>
      <c r="F389" s="53"/>
      <c r="G389" s="50"/>
      <c r="H389" s="51">
        <f>SUM(U386:U390)</f>
        <v>108.2</v>
      </c>
      <c r="I389" s="50" t="str">
        <f>CONCATENATE(Source!FY226,Source!FW226,"=")</f>
        <v>40*0,8=</v>
      </c>
      <c r="J389" s="13">
        <f>Source!AU226</f>
        <v>32</v>
      </c>
      <c r="K389" s="51">
        <f>SUM(V386:V390)</f>
        <v>1728.1</v>
      </c>
      <c r="L389" s="52"/>
    </row>
    <row r="390" spans="1:12" s="9" customFormat="1" ht="11.25">
      <c r="A390" s="54"/>
      <c r="B390" s="22"/>
      <c r="C390" s="22" t="s">
        <v>762</v>
      </c>
      <c r="D390" s="23" t="s">
        <v>763</v>
      </c>
      <c r="E390" s="24">
        <f>Source!AQ226</f>
        <v>14.4</v>
      </c>
      <c r="F390" s="25"/>
      <c r="G390" s="26">
        <f>Source!DI226</f>
      </c>
      <c r="H390" s="27"/>
      <c r="I390" s="26"/>
      <c r="J390" s="26"/>
      <c r="K390" s="27"/>
      <c r="L390" s="55">
        <f>Source!U226</f>
        <v>28.8</v>
      </c>
    </row>
    <row r="391" spans="1:26" s="9" customFormat="1" ht="11.25">
      <c r="A391" s="43"/>
      <c r="B391" s="14"/>
      <c r="C391" s="14"/>
      <c r="D391" s="14"/>
      <c r="E391" s="14"/>
      <c r="F391" s="14"/>
      <c r="G391" s="87">
        <f>H387+H388+H389</f>
        <v>554.7</v>
      </c>
      <c r="H391" s="87"/>
      <c r="I391" s="14"/>
      <c r="J391" s="87">
        <f>K387+K388+K389</f>
        <v>10098.699999999999</v>
      </c>
      <c r="K391" s="87"/>
      <c r="L391" s="56">
        <f>Source!U226</f>
        <v>28.8</v>
      </c>
      <c r="O391" s="28">
        <f>G391</f>
        <v>554.7</v>
      </c>
      <c r="P391" s="28">
        <f>J391</f>
        <v>10098.699999999999</v>
      </c>
      <c r="Q391" s="10">
        <f>L391</f>
        <v>28.8</v>
      </c>
      <c r="W391" s="9">
        <f>IF(Source!BI226&lt;=1,H387+H388+H389,0)</f>
        <v>0</v>
      </c>
      <c r="X391" s="9">
        <f>IF(Source!BI226=2,H387+H388+H389,0)</f>
        <v>0</v>
      </c>
      <c r="Y391" s="9">
        <f>IF(Source!BI226=3,H387+H388+H389,0)</f>
        <v>0</v>
      </c>
      <c r="Z391" s="9">
        <f>IF(Source!BI226=4,H387+H388+H389,0)</f>
        <v>554.7</v>
      </c>
    </row>
    <row r="392" spans="1:12" s="9" customFormat="1" ht="11.25">
      <c r="A392" s="4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44"/>
    </row>
    <row r="393" spans="1:32" s="9" customFormat="1" ht="11.25">
      <c r="A393" s="95" t="str">
        <f>CONCATENATE("Итого по разделу: ",IF(Source!G228&lt;&gt;"Новый раздел",Source!G228,""))</f>
        <v>Итого по разделу: Пусконаладочные работы. Измерение</v>
      </c>
      <c r="B393" s="96"/>
      <c r="C393" s="96"/>
      <c r="D393" s="96"/>
      <c r="E393" s="96"/>
      <c r="F393" s="96"/>
      <c r="G393" s="94">
        <f>SUM(O355:O392)</f>
        <v>2491.4</v>
      </c>
      <c r="H393" s="94"/>
      <c r="I393" s="58"/>
      <c r="J393" s="94">
        <f>SUM(P355:P392)</f>
        <v>45364.1</v>
      </c>
      <c r="K393" s="94"/>
      <c r="L393" s="56">
        <f>SUM(Q355:Q392)</f>
        <v>103.58999999999999</v>
      </c>
      <c r="AF393" s="33" t="str">
        <f>CONCATENATE("Итого по разделу: ",IF(Source!G228&lt;&gt;"Новый раздел",Source!G228,""))</f>
        <v>Итого по разделу: Пусконаладочные работы. Измерение</v>
      </c>
    </row>
    <row r="394" spans="1:12" s="9" customFormat="1" ht="11.25">
      <c r="A394" s="43"/>
      <c r="B394" s="14"/>
      <c r="C394" s="73" t="str">
        <f>Source!H230</f>
        <v>Прямые затраты</v>
      </c>
      <c r="D394" s="73"/>
      <c r="E394" s="73"/>
      <c r="F394" s="73"/>
      <c r="G394" s="73"/>
      <c r="H394" s="73"/>
      <c r="I394" s="73"/>
      <c r="J394" s="86">
        <f>IF(Source!F230=0,"",Source!F230)</f>
        <v>24258.9</v>
      </c>
      <c r="K394" s="86"/>
      <c r="L394" s="44"/>
    </row>
    <row r="395" spans="1:12" s="9" customFormat="1" ht="11.25">
      <c r="A395" s="43"/>
      <c r="B395" s="14"/>
      <c r="C395" s="73" t="str">
        <f>Source!H243</f>
        <v>Основная ЗП рабочих</v>
      </c>
      <c r="D395" s="73"/>
      <c r="E395" s="73"/>
      <c r="F395" s="73"/>
      <c r="G395" s="73"/>
      <c r="H395" s="73"/>
      <c r="I395" s="73"/>
      <c r="J395" s="86">
        <f>IF(Source!F243=0,"",Source!F243)</f>
        <v>24258.9</v>
      </c>
      <c r="K395" s="86"/>
      <c r="L395" s="44"/>
    </row>
    <row r="396" spans="1:12" s="9" customFormat="1" ht="11.25">
      <c r="A396" s="43"/>
      <c r="B396" s="14"/>
      <c r="C396" s="73" t="str">
        <f>Source!H247</f>
        <v>Прочие работы с НР и СП</v>
      </c>
      <c r="D396" s="73"/>
      <c r="E396" s="73"/>
      <c r="F396" s="73"/>
      <c r="G396" s="73"/>
      <c r="H396" s="73"/>
      <c r="I396" s="73"/>
      <c r="J396" s="86">
        <f>IF(Source!F247=0,"",Source!F247)</f>
        <v>45364.1</v>
      </c>
      <c r="K396" s="86"/>
      <c r="L396" s="44"/>
    </row>
    <row r="397" spans="1:12" s="9" customFormat="1" ht="11.25">
      <c r="A397" s="43"/>
      <c r="B397" s="14"/>
      <c r="C397" s="73" t="str">
        <f>Source!H250</f>
        <v>Трудозатраты строителей</v>
      </c>
      <c r="D397" s="73"/>
      <c r="E397" s="73"/>
      <c r="F397" s="73"/>
      <c r="G397" s="73"/>
      <c r="H397" s="73"/>
      <c r="I397" s="73"/>
      <c r="J397" s="89">
        <f>IF(Source!F250=0,"",Source!F250)</f>
        <v>103.58999999999999</v>
      </c>
      <c r="K397" s="89"/>
      <c r="L397" s="44"/>
    </row>
    <row r="398" spans="1:12" s="9" customFormat="1" ht="11.25">
      <c r="A398" s="43"/>
      <c r="B398" s="14"/>
      <c r="C398" s="73" t="str">
        <f>Source!H253</f>
        <v>Накладные расходы</v>
      </c>
      <c r="D398" s="73"/>
      <c r="E398" s="73"/>
      <c r="F398" s="73"/>
      <c r="G398" s="73"/>
      <c r="H398" s="73"/>
      <c r="I398" s="73"/>
      <c r="J398" s="86">
        <f>IF(Source!F253=0,"",Source!F253)</f>
        <v>13342.3</v>
      </c>
      <c r="K398" s="86"/>
      <c r="L398" s="44"/>
    </row>
    <row r="399" spans="1:12" s="9" customFormat="1" ht="11.25">
      <c r="A399" s="43"/>
      <c r="B399" s="14"/>
      <c r="C399" s="73" t="str">
        <f>Source!H254</f>
        <v>Сметная прибыль</v>
      </c>
      <c r="D399" s="73"/>
      <c r="E399" s="73"/>
      <c r="F399" s="73"/>
      <c r="G399" s="73"/>
      <c r="H399" s="73"/>
      <c r="I399" s="73"/>
      <c r="J399" s="86">
        <f>IF(Source!F254=0,"",Source!F254)</f>
        <v>7762.9</v>
      </c>
      <c r="K399" s="86"/>
      <c r="L399" s="44"/>
    </row>
    <row r="400" spans="1:12" s="9" customFormat="1" ht="11.25">
      <c r="A400" s="43"/>
      <c r="B400" s="14"/>
      <c r="C400" s="73" t="str">
        <f>Source!H255</f>
        <v>Всего с НР и СП</v>
      </c>
      <c r="D400" s="73"/>
      <c r="E400" s="73"/>
      <c r="F400" s="73"/>
      <c r="G400" s="73"/>
      <c r="H400" s="73"/>
      <c r="I400" s="73"/>
      <c r="J400" s="86">
        <f>IF(Source!F255=0,"",Source!F255)</f>
        <v>45364.1</v>
      </c>
      <c r="K400" s="86"/>
      <c r="L400" s="44"/>
    </row>
    <row r="401" spans="1:12" s="9" customFormat="1" ht="11.25">
      <c r="A401" s="92" t="str">
        <f>CONCATENATE("Раздел: ",IF(Source!G257&lt;&gt;"Новый раздел",Source!G257,""))</f>
        <v>Раздел: Заземление. Испытание</v>
      </c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93"/>
    </row>
    <row r="402" spans="1:22" s="9" customFormat="1" ht="78.75">
      <c r="A402" s="45" t="str">
        <f>Source!E261</f>
        <v>43</v>
      </c>
      <c r="B402" s="46" t="str">
        <f>Source!BJ261</f>
        <v>ФЕРп-2001, п01-11-011-01, приказ Минстроя России №1039/пр от 30.12.2016г.</v>
      </c>
      <c r="C402" s="46" t="str">
        <f>Source!G261</f>
        <v>Проверка наличия цепи между заземлителями и заземленными элементами</v>
      </c>
      <c r="D402" s="47" t="str">
        <f>Source!H261</f>
        <v>100 измерений</v>
      </c>
      <c r="E402" s="48">
        <f>Source!I261</f>
        <v>0.08</v>
      </c>
      <c r="F402" s="49">
        <f>Source!AL261+Source!AM261+Source!AO261</f>
        <v>165.95</v>
      </c>
      <c r="G402" s="50"/>
      <c r="H402" s="51"/>
      <c r="I402" s="50" t="str">
        <f>Source!BO261</f>
        <v>РСЦ с 1.09.2017г.</v>
      </c>
      <c r="J402" s="50"/>
      <c r="K402" s="51"/>
      <c r="L402" s="52"/>
      <c r="S402" s="9">
        <f>ROUND((Source!FX261/100)*((ROUND(Source!AF261*Source!I261,1)+ROUND(Source!AE261*Source!I261,1))),1)</f>
        <v>8.6</v>
      </c>
      <c r="T402" s="9">
        <f>Source!X261</f>
        <v>145.8</v>
      </c>
      <c r="U402" s="9">
        <f>ROUND((Source!FY261/100)*((ROUND(Source!AF261*Source!I261,1)+ROUND(Source!AE261*Source!I261,1))),1)</f>
        <v>5.3</v>
      </c>
      <c r="V402" s="9">
        <f>Source!Y261</f>
        <v>84.8</v>
      </c>
    </row>
    <row r="403" spans="1:18" s="9" customFormat="1" ht="11.25">
      <c r="A403" s="45"/>
      <c r="B403" s="46"/>
      <c r="C403" s="46" t="s">
        <v>758</v>
      </c>
      <c r="D403" s="47"/>
      <c r="E403" s="48"/>
      <c r="F403" s="49">
        <f>Source!AO261</f>
        <v>165.95</v>
      </c>
      <c r="G403" s="50">
        <f>Source!DG261</f>
      </c>
      <c r="H403" s="51">
        <f>ROUND(Source!AF261*Source!I261,1)</f>
        <v>13.3</v>
      </c>
      <c r="I403" s="50"/>
      <c r="J403" s="50">
        <f>IF(Source!BA261&lt;&gt;0,Source!BA261,1)</f>
        <v>19.96</v>
      </c>
      <c r="K403" s="51">
        <f>Source!S261</f>
        <v>265</v>
      </c>
      <c r="L403" s="52"/>
      <c r="R403" s="9">
        <f>H403</f>
        <v>13.3</v>
      </c>
    </row>
    <row r="404" spans="1:12" s="9" customFormat="1" ht="11.25">
      <c r="A404" s="45"/>
      <c r="B404" s="46"/>
      <c r="C404" s="46" t="s">
        <v>759</v>
      </c>
      <c r="D404" s="47" t="s">
        <v>760</v>
      </c>
      <c r="E404" s="48">
        <f>Source!BZ261</f>
        <v>65</v>
      </c>
      <c r="F404" s="53"/>
      <c r="G404" s="50"/>
      <c r="H404" s="51">
        <f>SUM(S402:S406)</f>
        <v>8.6</v>
      </c>
      <c r="I404" s="50" t="str">
        <f>CONCATENATE(Source!FX261,Source!FV261,"=")</f>
        <v>65*0,85=</v>
      </c>
      <c r="J404" s="13">
        <f>Source!AT261</f>
        <v>55</v>
      </c>
      <c r="K404" s="51">
        <f>SUM(T402:T406)</f>
        <v>145.8</v>
      </c>
      <c r="L404" s="52"/>
    </row>
    <row r="405" spans="1:12" s="9" customFormat="1" ht="11.25">
      <c r="A405" s="45"/>
      <c r="B405" s="46"/>
      <c r="C405" s="46" t="s">
        <v>761</v>
      </c>
      <c r="D405" s="47" t="s">
        <v>760</v>
      </c>
      <c r="E405" s="48">
        <f>Source!CA261</f>
        <v>40</v>
      </c>
      <c r="F405" s="53"/>
      <c r="G405" s="50"/>
      <c r="H405" s="51">
        <f>SUM(U402:U406)</f>
        <v>5.3</v>
      </c>
      <c r="I405" s="50" t="str">
        <f>CONCATENATE(Source!FY261,Source!FW261,"=")</f>
        <v>40*0,8=</v>
      </c>
      <c r="J405" s="13">
        <f>Source!AU261</f>
        <v>32</v>
      </c>
      <c r="K405" s="51">
        <f>SUM(V402:V406)</f>
        <v>84.8</v>
      </c>
      <c r="L405" s="52"/>
    </row>
    <row r="406" spans="1:12" s="9" customFormat="1" ht="11.25">
      <c r="A406" s="54"/>
      <c r="B406" s="22"/>
      <c r="C406" s="22" t="s">
        <v>762</v>
      </c>
      <c r="D406" s="23" t="s">
        <v>763</v>
      </c>
      <c r="E406" s="24">
        <f>Source!AQ261</f>
        <v>12.96</v>
      </c>
      <c r="F406" s="25"/>
      <c r="G406" s="26">
        <f>Source!DI261</f>
      </c>
      <c r="H406" s="27"/>
      <c r="I406" s="26"/>
      <c r="J406" s="26"/>
      <c r="K406" s="27"/>
      <c r="L406" s="55">
        <f>Source!U261</f>
        <v>1.0368000000000002</v>
      </c>
    </row>
    <row r="407" spans="1:26" s="9" customFormat="1" ht="11.25">
      <c r="A407" s="43"/>
      <c r="B407" s="14"/>
      <c r="C407" s="14"/>
      <c r="D407" s="14"/>
      <c r="E407" s="14"/>
      <c r="F407" s="14"/>
      <c r="G407" s="87">
        <f>H403+H404+H405</f>
        <v>27.2</v>
      </c>
      <c r="H407" s="87"/>
      <c r="I407" s="14"/>
      <c r="J407" s="87">
        <f>K403+K404+K405</f>
        <v>495.6</v>
      </c>
      <c r="K407" s="87"/>
      <c r="L407" s="56">
        <f>Source!U261</f>
        <v>1.0368000000000002</v>
      </c>
      <c r="O407" s="28">
        <f>G407</f>
        <v>27.2</v>
      </c>
      <c r="P407" s="28">
        <f>J407</f>
        <v>495.6</v>
      </c>
      <c r="Q407" s="10">
        <f>L407</f>
        <v>1.0368000000000002</v>
      </c>
      <c r="W407" s="9">
        <f>IF(Source!BI261&lt;=1,H403+H404+H405,0)</f>
        <v>0</v>
      </c>
      <c r="X407" s="9">
        <f>IF(Source!BI261=2,H403+H404+H405,0)</f>
        <v>0</v>
      </c>
      <c r="Y407" s="9">
        <f>IF(Source!BI261=3,H403+H404+H405,0)</f>
        <v>0</v>
      </c>
      <c r="Z407" s="9">
        <f>IF(Source!BI261=4,H403+H404+H405,0)</f>
        <v>27.2</v>
      </c>
    </row>
    <row r="408" spans="1:22" s="9" customFormat="1" ht="78.75">
      <c r="A408" s="45" t="str">
        <f>Source!E262</f>
        <v>44</v>
      </c>
      <c r="B408" s="46" t="str">
        <f>Source!BJ262</f>
        <v>ФЕРп-2001, п01-11-013-01, приказ Минстроя России №1039/пр от 30.12.2016г.</v>
      </c>
      <c r="C408" s="46" t="str">
        <f>Source!G262</f>
        <v>Замер полного сопротивления цепи "фаза-нуль"</v>
      </c>
      <c r="D408" s="47" t="str">
        <f>Source!H262</f>
        <v>ШТ</v>
      </c>
      <c r="E408" s="48">
        <f>Source!I262</f>
        <v>8</v>
      </c>
      <c r="F408" s="49">
        <f>Source!AL262+Source!AM262+Source!AO262</f>
        <v>15.62</v>
      </c>
      <c r="G408" s="50"/>
      <c r="H408" s="51"/>
      <c r="I408" s="50" t="str">
        <f>Source!BO262</f>
        <v>РСЦ с 1.09.2017г.</v>
      </c>
      <c r="J408" s="50"/>
      <c r="K408" s="51"/>
      <c r="L408" s="52"/>
      <c r="S408" s="9">
        <f>ROUND((Source!FX262/100)*((ROUND(Source!AF262*Source!I262,1)+ROUND(Source!AE262*Source!I262,1))),1)</f>
        <v>81.3</v>
      </c>
      <c r="T408" s="9">
        <f>Source!X262</f>
        <v>1371.8</v>
      </c>
      <c r="U408" s="9">
        <f>ROUND((Source!FY262/100)*((ROUND(Source!AF262*Source!I262,1)+ROUND(Source!AE262*Source!I262,1))),1)</f>
        <v>50</v>
      </c>
      <c r="V408" s="9">
        <f>Source!Y262</f>
        <v>798.1</v>
      </c>
    </row>
    <row r="409" spans="1:18" s="9" customFormat="1" ht="11.25">
      <c r="A409" s="45"/>
      <c r="B409" s="46"/>
      <c r="C409" s="46" t="s">
        <v>758</v>
      </c>
      <c r="D409" s="47"/>
      <c r="E409" s="48"/>
      <c r="F409" s="49">
        <f>Source!AO262</f>
        <v>15.62</v>
      </c>
      <c r="G409" s="50">
        <f>Source!DG262</f>
      </c>
      <c r="H409" s="51">
        <f>ROUND(Source!AF262*Source!I262,1)</f>
        <v>125</v>
      </c>
      <c r="I409" s="50"/>
      <c r="J409" s="50">
        <f>IF(Source!BA262&lt;&gt;0,Source!BA262,1)</f>
        <v>19.96</v>
      </c>
      <c r="K409" s="51">
        <f>Source!S262</f>
        <v>2494.2</v>
      </c>
      <c r="L409" s="52"/>
      <c r="R409" s="9">
        <f>H409</f>
        <v>125</v>
      </c>
    </row>
    <row r="410" spans="1:12" s="9" customFormat="1" ht="11.25">
      <c r="A410" s="45"/>
      <c r="B410" s="46"/>
      <c r="C410" s="46" t="s">
        <v>759</v>
      </c>
      <c r="D410" s="47" t="s">
        <v>760</v>
      </c>
      <c r="E410" s="48">
        <f>Source!BZ262</f>
        <v>65</v>
      </c>
      <c r="F410" s="53"/>
      <c r="G410" s="50"/>
      <c r="H410" s="51">
        <f>SUM(S408:S412)</f>
        <v>81.3</v>
      </c>
      <c r="I410" s="50" t="str">
        <f>CONCATENATE(Source!FX262,Source!FV262,"=")</f>
        <v>65*0,85=</v>
      </c>
      <c r="J410" s="13">
        <f>Source!AT262</f>
        <v>55</v>
      </c>
      <c r="K410" s="51">
        <f>SUM(T408:T412)</f>
        <v>1371.8</v>
      </c>
      <c r="L410" s="52"/>
    </row>
    <row r="411" spans="1:12" s="9" customFormat="1" ht="11.25">
      <c r="A411" s="45"/>
      <c r="B411" s="46"/>
      <c r="C411" s="46" t="s">
        <v>761</v>
      </c>
      <c r="D411" s="47" t="s">
        <v>760</v>
      </c>
      <c r="E411" s="48">
        <f>Source!CA262</f>
        <v>40</v>
      </c>
      <c r="F411" s="53"/>
      <c r="G411" s="50"/>
      <c r="H411" s="51">
        <f>SUM(U408:U412)</f>
        <v>50</v>
      </c>
      <c r="I411" s="50" t="str">
        <f>CONCATENATE(Source!FY262,Source!FW262,"=")</f>
        <v>40*0,8=</v>
      </c>
      <c r="J411" s="13">
        <f>Source!AU262</f>
        <v>32</v>
      </c>
      <c r="K411" s="51">
        <f>SUM(V408:V412)</f>
        <v>798.1</v>
      </c>
      <c r="L411" s="52"/>
    </row>
    <row r="412" spans="1:12" s="9" customFormat="1" ht="11.25">
      <c r="A412" s="54"/>
      <c r="B412" s="22"/>
      <c r="C412" s="22" t="s">
        <v>762</v>
      </c>
      <c r="D412" s="23" t="s">
        <v>763</v>
      </c>
      <c r="E412" s="24">
        <f>Source!AQ262</f>
        <v>1.22</v>
      </c>
      <c r="F412" s="25"/>
      <c r="G412" s="26">
        <f>Source!DI262</f>
      </c>
      <c r="H412" s="27"/>
      <c r="I412" s="26"/>
      <c r="J412" s="26"/>
      <c r="K412" s="27"/>
      <c r="L412" s="55">
        <f>Source!U262</f>
        <v>9.76</v>
      </c>
    </row>
    <row r="413" spans="1:26" s="9" customFormat="1" ht="11.25">
      <c r="A413" s="43"/>
      <c r="B413" s="14"/>
      <c r="C413" s="14"/>
      <c r="D413" s="14"/>
      <c r="E413" s="14"/>
      <c r="F413" s="14"/>
      <c r="G413" s="87">
        <f>H409+H410+H411</f>
        <v>256.3</v>
      </c>
      <c r="H413" s="87"/>
      <c r="I413" s="14"/>
      <c r="J413" s="87">
        <f>K409+K410+K411</f>
        <v>4664.1</v>
      </c>
      <c r="K413" s="87"/>
      <c r="L413" s="56">
        <f>Source!U262</f>
        <v>9.76</v>
      </c>
      <c r="O413" s="28">
        <f>G413</f>
        <v>256.3</v>
      </c>
      <c r="P413" s="28">
        <f>J413</f>
        <v>4664.1</v>
      </c>
      <c r="Q413" s="10">
        <f>L413</f>
        <v>9.76</v>
      </c>
      <c r="W413" s="9">
        <f>IF(Source!BI262&lt;=1,H409+H410+H411,0)</f>
        <v>0</v>
      </c>
      <c r="X413" s="9">
        <f>IF(Source!BI262=2,H409+H410+H411,0)</f>
        <v>0</v>
      </c>
      <c r="Y413" s="9">
        <f>IF(Source!BI262=3,H409+H410+H411,0)</f>
        <v>0</v>
      </c>
      <c r="Z413" s="9">
        <f>IF(Source!BI262=4,H409+H410+H411,0)</f>
        <v>256.3</v>
      </c>
    </row>
    <row r="414" spans="1:22" s="9" customFormat="1" ht="78.75">
      <c r="A414" s="45" t="str">
        <f>Source!E263</f>
        <v>45</v>
      </c>
      <c r="B414" s="46" t="str">
        <f>Source!BJ263</f>
        <v>ФЕРп-2001, п01-11-010-01, приказ Минстроя России №1039/пр от 30.12.2016г.</v>
      </c>
      <c r="C414" s="46" t="str">
        <f>Source!G263</f>
        <v>Измерение сопротивления растеканию тока заземлителя</v>
      </c>
      <c r="D414" s="47" t="str">
        <f>Source!H263</f>
        <v>измерение</v>
      </c>
      <c r="E414" s="48">
        <f>Source!I263</f>
        <v>8</v>
      </c>
      <c r="F414" s="49">
        <f>Source!AL263+Source!AM263+Source!AO263</f>
        <v>15.62</v>
      </c>
      <c r="G414" s="50"/>
      <c r="H414" s="51"/>
      <c r="I414" s="50" t="str">
        <f>Source!BO263</f>
        <v>РСЦ с 1.09.2017г.</v>
      </c>
      <c r="J414" s="50"/>
      <c r="K414" s="51"/>
      <c r="L414" s="52"/>
      <c r="S414" s="9">
        <f>ROUND((Source!FX263/100)*((ROUND(Source!AF263*Source!I263,1)+ROUND(Source!AE263*Source!I263,1))),1)</f>
        <v>81.3</v>
      </c>
      <c r="T414" s="9">
        <f>Source!X263</f>
        <v>1371.8</v>
      </c>
      <c r="U414" s="9">
        <f>ROUND((Source!FY263/100)*((ROUND(Source!AF263*Source!I263,1)+ROUND(Source!AE263*Source!I263,1))),1)</f>
        <v>50</v>
      </c>
      <c r="V414" s="9">
        <f>Source!Y263</f>
        <v>798.1</v>
      </c>
    </row>
    <row r="415" spans="1:18" s="9" customFormat="1" ht="11.25">
      <c r="A415" s="45"/>
      <c r="B415" s="46"/>
      <c r="C415" s="46" t="s">
        <v>758</v>
      </c>
      <c r="D415" s="47"/>
      <c r="E415" s="48"/>
      <c r="F415" s="49">
        <f>Source!AO263</f>
        <v>15.62</v>
      </c>
      <c r="G415" s="50">
        <f>Source!DG263</f>
      </c>
      <c r="H415" s="51">
        <f>ROUND(Source!AF263*Source!I263,1)</f>
        <v>125</v>
      </c>
      <c r="I415" s="50"/>
      <c r="J415" s="50">
        <f>IF(Source!BA263&lt;&gt;0,Source!BA263,1)</f>
        <v>19.96</v>
      </c>
      <c r="K415" s="51">
        <f>Source!S263</f>
        <v>2494.2</v>
      </c>
      <c r="L415" s="52"/>
      <c r="R415" s="9">
        <f>H415</f>
        <v>125</v>
      </c>
    </row>
    <row r="416" spans="1:12" s="9" customFormat="1" ht="11.25">
      <c r="A416" s="45"/>
      <c r="B416" s="46"/>
      <c r="C416" s="46" t="s">
        <v>759</v>
      </c>
      <c r="D416" s="47" t="s">
        <v>760</v>
      </c>
      <c r="E416" s="48">
        <f>Source!BZ263</f>
        <v>65</v>
      </c>
      <c r="F416" s="53"/>
      <c r="G416" s="50"/>
      <c r="H416" s="51">
        <f>SUM(S414:S418)</f>
        <v>81.3</v>
      </c>
      <c r="I416" s="50" t="str">
        <f>CONCATENATE(Source!FX263,Source!FV263,"=")</f>
        <v>65*0,85=</v>
      </c>
      <c r="J416" s="13">
        <f>Source!AT263</f>
        <v>55</v>
      </c>
      <c r="K416" s="51">
        <f>SUM(T414:T418)</f>
        <v>1371.8</v>
      </c>
      <c r="L416" s="52"/>
    </row>
    <row r="417" spans="1:12" s="9" customFormat="1" ht="11.25">
      <c r="A417" s="45"/>
      <c r="B417" s="46"/>
      <c r="C417" s="46" t="s">
        <v>761</v>
      </c>
      <c r="D417" s="47" t="s">
        <v>760</v>
      </c>
      <c r="E417" s="48">
        <f>Source!CA263</f>
        <v>40</v>
      </c>
      <c r="F417" s="53"/>
      <c r="G417" s="50"/>
      <c r="H417" s="51">
        <f>SUM(U414:U418)</f>
        <v>50</v>
      </c>
      <c r="I417" s="50" t="str">
        <f>CONCATENATE(Source!FY263,Source!FW263,"=")</f>
        <v>40*0,8=</v>
      </c>
      <c r="J417" s="13">
        <f>Source!AU263</f>
        <v>32</v>
      </c>
      <c r="K417" s="51">
        <f>SUM(V414:V418)</f>
        <v>798.1</v>
      </c>
      <c r="L417" s="52"/>
    </row>
    <row r="418" spans="1:12" s="9" customFormat="1" ht="11.25">
      <c r="A418" s="54"/>
      <c r="B418" s="22"/>
      <c r="C418" s="22" t="s">
        <v>762</v>
      </c>
      <c r="D418" s="23" t="s">
        <v>763</v>
      </c>
      <c r="E418" s="24">
        <f>Source!AQ263</f>
        <v>1.22</v>
      </c>
      <c r="F418" s="25"/>
      <c r="G418" s="26">
        <f>Source!DI263</f>
      </c>
      <c r="H418" s="27"/>
      <c r="I418" s="26"/>
      <c r="J418" s="26"/>
      <c r="K418" s="27"/>
      <c r="L418" s="55">
        <f>Source!U263</f>
        <v>9.76</v>
      </c>
    </row>
    <row r="419" spans="1:26" s="9" customFormat="1" ht="11.25">
      <c r="A419" s="43"/>
      <c r="B419" s="14"/>
      <c r="C419" s="14"/>
      <c r="D419" s="14"/>
      <c r="E419" s="14"/>
      <c r="F419" s="14"/>
      <c r="G419" s="87">
        <f>H415+H416+H417</f>
        <v>256.3</v>
      </c>
      <c r="H419" s="87"/>
      <c r="I419" s="14"/>
      <c r="J419" s="87">
        <f>K415+K416+K417</f>
        <v>4664.1</v>
      </c>
      <c r="K419" s="87"/>
      <c r="L419" s="56">
        <f>Source!U263</f>
        <v>9.76</v>
      </c>
      <c r="O419" s="28">
        <f>G419</f>
        <v>256.3</v>
      </c>
      <c r="P419" s="28">
        <f>J419</f>
        <v>4664.1</v>
      </c>
      <c r="Q419" s="10">
        <f>L419</f>
        <v>9.76</v>
      </c>
      <c r="W419" s="9">
        <f>IF(Source!BI263&lt;=1,H415+H416+H417,0)</f>
        <v>0</v>
      </c>
      <c r="X419" s="9">
        <f>IF(Source!BI263=2,H415+H416+H417,0)</f>
        <v>0</v>
      </c>
      <c r="Y419" s="9">
        <f>IF(Source!BI263=3,H415+H416+H417,0)</f>
        <v>0</v>
      </c>
      <c r="Z419" s="9">
        <f>IF(Source!BI263=4,H415+H416+H417,0)</f>
        <v>256.3</v>
      </c>
    </row>
    <row r="420" spans="1:22" s="9" customFormat="1" ht="78.75">
      <c r="A420" s="45" t="str">
        <f>Source!E264</f>
        <v>46</v>
      </c>
      <c r="B420" s="46" t="str">
        <f>Source!BJ264</f>
        <v>ФЕРп-2001, п01-05-015-01, приказ Минстроя России №1039/пр от 30.12.2016г.</v>
      </c>
      <c r="C420" s="46" t="str">
        <f>Source!G264</f>
        <v>Устройство АВР со схемой восстановления напряжения</v>
      </c>
      <c r="D420" s="47" t="str">
        <f>Source!H264</f>
        <v>ШТ</v>
      </c>
      <c r="E420" s="48">
        <f>Source!I264</f>
        <v>8</v>
      </c>
      <c r="F420" s="49">
        <f>Source!AL264+Source!AM264+Source!AO264</f>
        <v>264.97</v>
      </c>
      <c r="G420" s="50"/>
      <c r="H420" s="51"/>
      <c r="I420" s="50" t="str">
        <f>Source!BO264</f>
        <v>РСЦ с 1.09.2017г.</v>
      </c>
      <c r="J420" s="50"/>
      <c r="K420" s="51"/>
      <c r="L420" s="52"/>
      <c r="S420" s="9">
        <f>ROUND((Source!FX264/100)*((ROUND(Source!AF264*Source!I264,1)+ROUND(Source!AE264*Source!I264,1))),1)</f>
        <v>1377.9</v>
      </c>
      <c r="T420" s="9">
        <f>Source!X264</f>
        <v>23270.7</v>
      </c>
      <c r="U420" s="9">
        <f>ROUND((Source!FY264/100)*((ROUND(Source!AF264*Source!I264,1)+ROUND(Source!AE264*Source!I264,1))),1)</f>
        <v>847.9</v>
      </c>
      <c r="V420" s="9">
        <f>Source!Y264</f>
        <v>13539.3</v>
      </c>
    </row>
    <row r="421" spans="1:18" s="9" customFormat="1" ht="11.25">
      <c r="A421" s="45"/>
      <c r="B421" s="46"/>
      <c r="C421" s="46" t="s">
        <v>758</v>
      </c>
      <c r="D421" s="47"/>
      <c r="E421" s="48"/>
      <c r="F421" s="49">
        <f>Source!AO264</f>
        <v>264.97</v>
      </c>
      <c r="G421" s="50">
        <f>Source!DG264</f>
      </c>
      <c r="H421" s="51">
        <f>ROUND(Source!AF264*Source!I264,1)</f>
        <v>2119.8</v>
      </c>
      <c r="I421" s="50"/>
      <c r="J421" s="50">
        <f>IF(Source!BA264&lt;&gt;0,Source!BA264,1)</f>
        <v>19.96</v>
      </c>
      <c r="K421" s="51">
        <f>Source!S264</f>
        <v>42310.4</v>
      </c>
      <c r="L421" s="52"/>
      <c r="R421" s="9">
        <f>H421</f>
        <v>2119.8</v>
      </c>
    </row>
    <row r="422" spans="1:12" s="9" customFormat="1" ht="11.25">
      <c r="A422" s="45"/>
      <c r="B422" s="46"/>
      <c r="C422" s="46" t="s">
        <v>759</v>
      </c>
      <c r="D422" s="47" t="s">
        <v>760</v>
      </c>
      <c r="E422" s="48">
        <f>Source!BZ264</f>
        <v>65</v>
      </c>
      <c r="F422" s="53"/>
      <c r="G422" s="50"/>
      <c r="H422" s="51">
        <f>SUM(S420:S424)</f>
        <v>1377.9</v>
      </c>
      <c r="I422" s="50" t="str">
        <f>CONCATENATE(Source!FX264,Source!FV264,"=")</f>
        <v>65*0,85=</v>
      </c>
      <c r="J422" s="13">
        <f>Source!AT264</f>
        <v>55</v>
      </c>
      <c r="K422" s="51">
        <f>SUM(T420:T424)</f>
        <v>23270.7</v>
      </c>
      <c r="L422" s="52"/>
    </row>
    <row r="423" spans="1:12" s="9" customFormat="1" ht="11.25">
      <c r="A423" s="45"/>
      <c r="B423" s="46"/>
      <c r="C423" s="46" t="s">
        <v>761</v>
      </c>
      <c r="D423" s="47" t="s">
        <v>760</v>
      </c>
      <c r="E423" s="48">
        <f>Source!CA264</f>
        <v>40</v>
      </c>
      <c r="F423" s="53"/>
      <c r="G423" s="50"/>
      <c r="H423" s="51">
        <f>SUM(U420:U424)</f>
        <v>847.9</v>
      </c>
      <c r="I423" s="50" t="str">
        <f>CONCATENATE(Source!FY264,Source!FW264,"=")</f>
        <v>40*0,8=</v>
      </c>
      <c r="J423" s="13">
        <f>Source!AU264</f>
        <v>32</v>
      </c>
      <c r="K423" s="51">
        <f>SUM(V420:V424)</f>
        <v>13539.3</v>
      </c>
      <c r="L423" s="52"/>
    </row>
    <row r="424" spans="1:12" s="9" customFormat="1" ht="11.25">
      <c r="A424" s="54"/>
      <c r="B424" s="22"/>
      <c r="C424" s="22" t="s">
        <v>762</v>
      </c>
      <c r="D424" s="23" t="s">
        <v>763</v>
      </c>
      <c r="E424" s="24">
        <f>Source!AQ264</f>
        <v>20.88</v>
      </c>
      <c r="F424" s="25"/>
      <c r="G424" s="26">
        <f>Source!DI264</f>
      </c>
      <c r="H424" s="27"/>
      <c r="I424" s="26"/>
      <c r="J424" s="26"/>
      <c r="K424" s="27"/>
      <c r="L424" s="55">
        <f>Source!U264</f>
        <v>167.04</v>
      </c>
    </row>
    <row r="425" spans="1:26" s="9" customFormat="1" ht="11.25">
      <c r="A425" s="43"/>
      <c r="B425" s="14"/>
      <c r="C425" s="14"/>
      <c r="D425" s="14"/>
      <c r="E425" s="14"/>
      <c r="F425" s="14"/>
      <c r="G425" s="87">
        <f>H421+H422+H423</f>
        <v>4345.6</v>
      </c>
      <c r="H425" s="87"/>
      <c r="I425" s="14"/>
      <c r="J425" s="87">
        <f>K421+K422+K423</f>
        <v>79120.40000000001</v>
      </c>
      <c r="K425" s="87"/>
      <c r="L425" s="56">
        <f>Source!U264</f>
        <v>167.04</v>
      </c>
      <c r="O425" s="28">
        <f>G425</f>
        <v>4345.6</v>
      </c>
      <c r="P425" s="28">
        <f>J425</f>
        <v>79120.40000000001</v>
      </c>
      <c r="Q425" s="10">
        <f>L425</f>
        <v>167.04</v>
      </c>
      <c r="W425" s="9">
        <f>IF(Source!BI264&lt;=1,H421+H422+H423,0)</f>
        <v>0</v>
      </c>
      <c r="X425" s="9">
        <f>IF(Source!BI264=2,H421+H422+H423,0)</f>
        <v>0</v>
      </c>
      <c r="Y425" s="9">
        <f>IF(Source!BI264=3,H421+H422+H423,0)</f>
        <v>0</v>
      </c>
      <c r="Z425" s="9">
        <f>IF(Source!BI264=4,H421+H422+H423,0)</f>
        <v>4345.6</v>
      </c>
    </row>
    <row r="426" spans="1:12" s="9" customFormat="1" ht="11.25">
      <c r="A426" s="4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44"/>
    </row>
    <row r="427" spans="1:12" s="9" customFormat="1" ht="11.25">
      <c r="A427" s="95" t="str">
        <f>CONCATENATE("Итого по разделу: ",IF(Source!G266&lt;&gt;"Новый раздел",Source!G266,""))</f>
        <v>Итого по разделу: Заземление. Испытание</v>
      </c>
      <c r="B427" s="96"/>
      <c r="C427" s="96"/>
      <c r="D427" s="96"/>
      <c r="E427" s="96"/>
      <c r="F427" s="96"/>
      <c r="G427" s="94">
        <f>SUM(O401:O426)</f>
        <v>4885.400000000001</v>
      </c>
      <c r="H427" s="94"/>
      <c r="I427" s="58"/>
      <c r="J427" s="94">
        <f>SUM(P401:P426)</f>
        <v>88944.20000000001</v>
      </c>
      <c r="K427" s="94"/>
      <c r="L427" s="56">
        <f>SUM(Q401:Q426)</f>
        <v>187.5968</v>
      </c>
    </row>
    <row r="428" spans="1:12" s="9" customFormat="1" ht="11.25">
      <c r="A428" s="4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44"/>
    </row>
    <row r="429" spans="1:12" s="9" customFormat="1" ht="11.25">
      <c r="A429" s="4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44"/>
    </row>
    <row r="430" spans="1:12" s="9" customFormat="1" ht="11.25">
      <c r="A430" s="43"/>
      <c r="B430" s="14"/>
      <c r="C430" s="73" t="str">
        <f>Source!H268</f>
        <v>Прямые затраты</v>
      </c>
      <c r="D430" s="73"/>
      <c r="E430" s="73"/>
      <c r="F430" s="73"/>
      <c r="G430" s="73"/>
      <c r="H430" s="73"/>
      <c r="I430" s="73"/>
      <c r="J430" s="86">
        <f>IF(Source!F268=0,"",Source!F268)</f>
        <v>47563.8</v>
      </c>
      <c r="K430" s="86"/>
      <c r="L430" s="44"/>
    </row>
    <row r="431" spans="1:12" s="9" customFormat="1" ht="11.25">
      <c r="A431" s="43"/>
      <c r="B431" s="14"/>
      <c r="C431" s="73" t="str">
        <f>Source!H269</f>
        <v>Стоимость материальных ресурсов (всего)</v>
      </c>
      <c r="D431" s="73"/>
      <c r="E431" s="73"/>
      <c r="F431" s="73"/>
      <c r="G431" s="73"/>
      <c r="H431" s="73"/>
      <c r="I431" s="73"/>
      <c r="J431" s="86">
        <f>IF(Source!F269=0,"",Source!F269)</f>
      </c>
      <c r="K431" s="86"/>
      <c r="L431" s="44"/>
    </row>
    <row r="432" spans="1:12" s="9" customFormat="1" ht="11.25">
      <c r="A432" s="43"/>
      <c r="B432" s="14"/>
      <c r="C432" s="73" t="str">
        <f>Source!H272</f>
        <v>Стоимость материалов (всего)</v>
      </c>
      <c r="D432" s="73"/>
      <c r="E432" s="73"/>
      <c r="F432" s="73"/>
      <c r="G432" s="73"/>
      <c r="H432" s="73"/>
      <c r="I432" s="73"/>
      <c r="J432" s="86">
        <f>IF(Source!F272=0,"",Source!F272)</f>
      </c>
      <c r="K432" s="86"/>
      <c r="L432" s="44"/>
    </row>
    <row r="433" spans="1:12" s="9" customFormat="1" ht="11.25">
      <c r="A433" s="43"/>
      <c r="B433" s="14"/>
      <c r="C433" s="73" t="str">
        <f>Source!H275</f>
        <v>Стоимость оборудования (всего)</v>
      </c>
      <c r="D433" s="73"/>
      <c r="E433" s="73"/>
      <c r="F433" s="73"/>
      <c r="G433" s="73"/>
      <c r="H433" s="73"/>
      <c r="I433" s="73"/>
      <c r="J433" s="86">
        <f>IF(Source!F275=0,"",Source!F275)</f>
      </c>
      <c r="K433" s="86"/>
      <c r="L433" s="44"/>
    </row>
    <row r="434" spans="1:12" s="9" customFormat="1" ht="11.25">
      <c r="A434" s="43"/>
      <c r="B434" s="14"/>
      <c r="C434" s="73" t="str">
        <f>Source!H278</f>
        <v>Эксплуатация машин</v>
      </c>
      <c r="D434" s="73"/>
      <c r="E434" s="73"/>
      <c r="F434" s="73"/>
      <c r="G434" s="73"/>
      <c r="H434" s="73"/>
      <c r="I434" s="73"/>
      <c r="J434" s="86">
        <f>IF(Source!F278=0,"",Source!F278)</f>
      </c>
      <c r="K434" s="86"/>
      <c r="L434" s="44"/>
    </row>
    <row r="435" spans="1:12" s="9" customFormat="1" ht="11.25">
      <c r="A435" s="43"/>
      <c r="B435" s="14"/>
      <c r="C435" s="73" t="str">
        <f>Source!H280</f>
        <v>ЗП машинистов</v>
      </c>
      <c r="D435" s="73"/>
      <c r="E435" s="73"/>
      <c r="F435" s="73"/>
      <c r="G435" s="73"/>
      <c r="H435" s="73"/>
      <c r="I435" s="73"/>
      <c r="J435" s="86">
        <f>IF(Source!F280=0,"",Source!F280)</f>
      </c>
      <c r="K435" s="86"/>
      <c r="L435" s="44"/>
    </row>
    <row r="436" spans="1:12" s="9" customFormat="1" ht="11.25">
      <c r="A436" s="43"/>
      <c r="B436" s="14"/>
      <c r="C436" s="73" t="str">
        <f>Source!H281</f>
        <v>Основная ЗП рабочих</v>
      </c>
      <c r="D436" s="73"/>
      <c r="E436" s="73"/>
      <c r="F436" s="73"/>
      <c r="G436" s="73"/>
      <c r="H436" s="73"/>
      <c r="I436" s="73"/>
      <c r="J436" s="86">
        <f>IF(Source!F281=0,"",Source!F281)</f>
        <v>47563.8</v>
      </c>
      <c r="K436" s="86"/>
      <c r="L436" s="44"/>
    </row>
    <row r="437" spans="1:12" s="9" customFormat="1" ht="11.25">
      <c r="A437" s="43"/>
      <c r="B437" s="14"/>
      <c r="C437" s="73" t="str">
        <f>Source!H283</f>
        <v>Строительные работы с НР и СП</v>
      </c>
      <c r="D437" s="73"/>
      <c r="E437" s="73"/>
      <c r="F437" s="73"/>
      <c r="G437" s="73"/>
      <c r="H437" s="73"/>
      <c r="I437" s="73"/>
      <c r="J437" s="86">
        <f>IF(Source!F283=0,"",Source!F283)</f>
      </c>
      <c r="K437" s="86"/>
      <c r="L437" s="44"/>
    </row>
    <row r="438" spans="1:12" s="9" customFormat="1" ht="11.25">
      <c r="A438" s="43"/>
      <c r="B438" s="14"/>
      <c r="C438" s="73" t="str">
        <f>Source!H284</f>
        <v>Монтажные работы с НР и СП</v>
      </c>
      <c r="D438" s="73"/>
      <c r="E438" s="73"/>
      <c r="F438" s="73"/>
      <c r="G438" s="73"/>
      <c r="H438" s="73"/>
      <c r="I438" s="73"/>
      <c r="J438" s="86">
        <f>IF(Source!F284=0,"",Source!F284)</f>
      </c>
      <c r="K438" s="86"/>
      <c r="L438" s="44"/>
    </row>
    <row r="439" spans="1:12" s="9" customFormat="1" ht="11.25">
      <c r="A439" s="43"/>
      <c r="B439" s="14"/>
      <c r="C439" s="73" t="str">
        <f>Source!H285</f>
        <v>Прочие работы с НР и СП</v>
      </c>
      <c r="D439" s="73"/>
      <c r="E439" s="73"/>
      <c r="F439" s="73"/>
      <c r="G439" s="73"/>
      <c r="H439" s="73"/>
      <c r="I439" s="73"/>
      <c r="J439" s="86">
        <f>IF(Source!F285=0,"",Source!F285)</f>
        <v>88944.2</v>
      </c>
      <c r="K439" s="86"/>
      <c r="L439" s="44"/>
    </row>
    <row r="440" spans="1:12" s="9" customFormat="1" ht="11.25">
      <c r="A440" s="43"/>
      <c r="B440" s="14"/>
      <c r="C440" s="73" t="str">
        <f>Source!H288</f>
        <v>Трудозатраты строителей</v>
      </c>
      <c r="D440" s="73"/>
      <c r="E440" s="73"/>
      <c r="F440" s="73"/>
      <c r="G440" s="73"/>
      <c r="H440" s="73"/>
      <c r="I440" s="73"/>
      <c r="J440" s="89">
        <f>IF(Source!F288=0,"",Source!F288)</f>
        <v>187.5968</v>
      </c>
      <c r="K440" s="89"/>
      <c r="L440" s="44"/>
    </row>
    <row r="441" spans="1:12" s="9" customFormat="1" ht="11.25">
      <c r="A441" s="43"/>
      <c r="B441" s="14"/>
      <c r="C441" s="73" t="str">
        <f>Source!H289</f>
        <v>Трудозатраты машинистов</v>
      </c>
      <c r="D441" s="73"/>
      <c r="E441" s="73"/>
      <c r="F441" s="73"/>
      <c r="G441" s="73"/>
      <c r="H441" s="73"/>
      <c r="I441" s="73"/>
      <c r="J441" s="89">
        <f>IF(Source!F289=0,"",Source!F289)</f>
      </c>
      <c r="K441" s="89"/>
      <c r="L441" s="44"/>
    </row>
    <row r="442" spans="1:12" s="9" customFormat="1" ht="11.25">
      <c r="A442" s="43"/>
      <c r="B442" s="14"/>
      <c r="C442" s="73" t="str">
        <f>Source!H291</f>
        <v>Накладные расходы</v>
      </c>
      <c r="D442" s="73"/>
      <c r="E442" s="73"/>
      <c r="F442" s="73"/>
      <c r="G442" s="73"/>
      <c r="H442" s="73"/>
      <c r="I442" s="73"/>
      <c r="J442" s="86">
        <f>IF(Source!F291=0,"",Source!F291)</f>
        <v>26160.1</v>
      </c>
      <c r="K442" s="86"/>
      <c r="L442" s="44"/>
    </row>
    <row r="443" spans="1:12" s="9" customFormat="1" ht="11.25">
      <c r="A443" s="43"/>
      <c r="B443" s="14"/>
      <c r="C443" s="73" t="str">
        <f>Source!H292</f>
        <v>Сметная прибыль</v>
      </c>
      <c r="D443" s="73"/>
      <c r="E443" s="73"/>
      <c r="F443" s="73"/>
      <c r="G443" s="73"/>
      <c r="H443" s="73"/>
      <c r="I443" s="73"/>
      <c r="J443" s="86">
        <f>IF(Source!F292=0,"",Source!F292)</f>
        <v>15220.3</v>
      </c>
      <c r="K443" s="86"/>
      <c r="L443" s="44"/>
    </row>
    <row r="444" spans="1:12" s="9" customFormat="1" ht="11.25">
      <c r="A444" s="43"/>
      <c r="B444" s="14"/>
      <c r="C444" s="73" t="str">
        <f>Source!H293</f>
        <v>Всего с НР и СП</v>
      </c>
      <c r="D444" s="73"/>
      <c r="E444" s="73"/>
      <c r="F444" s="73"/>
      <c r="G444" s="73"/>
      <c r="H444" s="73"/>
      <c r="I444" s="73"/>
      <c r="J444" s="86">
        <f>IF(Source!F293=0,"",Source!F293)</f>
        <v>88944.2</v>
      </c>
      <c r="K444" s="86"/>
      <c r="L444" s="44"/>
    </row>
    <row r="445" spans="1:12" s="9" customFormat="1" ht="11.25">
      <c r="A445" s="92" t="str">
        <f>CONCATENATE("Раздел: ",IF(Source!G295&lt;&gt;"Новый раздел",Source!G295,""))</f>
        <v>Раздел: Восстановление газонов, благоустройство</v>
      </c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93"/>
    </row>
    <row r="446" spans="1:22" s="9" customFormat="1" ht="78.75">
      <c r="A446" s="45" t="str">
        <f>Source!E299</f>
        <v>47</v>
      </c>
      <c r="B446" s="46" t="str">
        <f>Source!BJ299</f>
        <v>ФЕР-2001, 01-01-111-02, приказ Минстроя России №1039/пр от 30.12.2016г.</v>
      </c>
      <c r="C446" s="46" t="str">
        <f>Source!G299</f>
        <v>Планировка вручную, группа грунтов 2</v>
      </c>
      <c r="D446" s="47" t="str">
        <f>Source!H299</f>
        <v>1000 м2</v>
      </c>
      <c r="E446" s="48">
        <f>Source!I299</f>
        <v>0.12</v>
      </c>
      <c r="F446" s="49">
        <f>Source!AL299+Source!AM299+Source!AO299</f>
        <v>1100.37</v>
      </c>
      <c r="G446" s="50"/>
      <c r="H446" s="51"/>
      <c r="I446" s="50" t="str">
        <f>Source!BO299</f>
        <v>РСЦ с 1.09.2017г.</v>
      </c>
      <c r="J446" s="50"/>
      <c r="K446" s="51"/>
      <c r="L446" s="52"/>
      <c r="S446" s="9">
        <f>ROUND((Source!FX299/100)*((ROUND(Source!AF299*Source!I299,1)+ROUND(Source!AE299*Source!I299,1))),1)</f>
        <v>125.4</v>
      </c>
      <c r="T446" s="9">
        <f>Source!X299</f>
        <v>2134.8</v>
      </c>
      <c r="U446" s="9">
        <f>ROUND((Source!FY299/100)*((ROUND(Source!AF299*Source!I299,1)+ROUND(Source!AE299*Source!I299,1))),1)</f>
        <v>66</v>
      </c>
      <c r="V446" s="9">
        <f>Source!Y299</f>
        <v>1054.2</v>
      </c>
    </row>
    <row r="447" spans="1:18" s="9" customFormat="1" ht="11.25">
      <c r="A447" s="45"/>
      <c r="B447" s="46"/>
      <c r="C447" s="46" t="s">
        <v>758</v>
      </c>
      <c r="D447" s="47"/>
      <c r="E447" s="48"/>
      <c r="F447" s="49">
        <f>Source!AO299</f>
        <v>1100.37</v>
      </c>
      <c r="G447" s="50">
        <f>Source!DG299</f>
      </c>
      <c r="H447" s="51">
        <f>ROUND(Source!AF299*Source!I299,1)</f>
        <v>132</v>
      </c>
      <c r="I447" s="50"/>
      <c r="J447" s="50">
        <f>IF(Source!BA299&lt;&gt;0,Source!BA299,1)</f>
        <v>19.96</v>
      </c>
      <c r="K447" s="51">
        <f>Source!S299</f>
        <v>2635.6</v>
      </c>
      <c r="L447" s="52"/>
      <c r="R447" s="9">
        <f>H447</f>
        <v>132</v>
      </c>
    </row>
    <row r="448" spans="1:12" s="9" customFormat="1" ht="11.25">
      <c r="A448" s="45"/>
      <c r="B448" s="46"/>
      <c r="C448" s="46" t="s">
        <v>759</v>
      </c>
      <c r="D448" s="47" t="s">
        <v>760</v>
      </c>
      <c r="E448" s="48">
        <f>Source!BZ299</f>
        <v>95</v>
      </c>
      <c r="F448" s="53"/>
      <c r="G448" s="50"/>
      <c r="H448" s="51">
        <f>SUM(S446:S450)</f>
        <v>125.4</v>
      </c>
      <c r="I448" s="50" t="str">
        <f>CONCATENATE(Source!FX299,Source!FV299,"=")</f>
        <v>95*0,85=</v>
      </c>
      <c r="J448" s="13">
        <f>Source!AT299</f>
        <v>81</v>
      </c>
      <c r="K448" s="51">
        <f>SUM(T446:T450)</f>
        <v>2134.8</v>
      </c>
      <c r="L448" s="52"/>
    </row>
    <row r="449" spans="1:12" s="9" customFormat="1" ht="11.25">
      <c r="A449" s="45"/>
      <c r="B449" s="46"/>
      <c r="C449" s="46" t="s">
        <v>761</v>
      </c>
      <c r="D449" s="47" t="s">
        <v>760</v>
      </c>
      <c r="E449" s="48">
        <f>Source!CA299</f>
        <v>50</v>
      </c>
      <c r="F449" s="53"/>
      <c r="G449" s="50"/>
      <c r="H449" s="51">
        <f>SUM(U446:U450)</f>
        <v>66</v>
      </c>
      <c r="I449" s="50" t="str">
        <f>CONCATENATE(Source!FY299,Source!FW299,"=")</f>
        <v>50*0,8=</v>
      </c>
      <c r="J449" s="13">
        <f>Source!AU299</f>
        <v>40</v>
      </c>
      <c r="K449" s="51">
        <f>SUM(V446:V450)</f>
        <v>1054.2</v>
      </c>
      <c r="L449" s="52"/>
    </row>
    <row r="450" spans="1:12" s="9" customFormat="1" ht="11.25">
      <c r="A450" s="54"/>
      <c r="B450" s="22"/>
      <c r="C450" s="22" t="s">
        <v>762</v>
      </c>
      <c r="D450" s="23" t="s">
        <v>763</v>
      </c>
      <c r="E450" s="24">
        <f>Source!AQ299</f>
        <v>129</v>
      </c>
      <c r="F450" s="25"/>
      <c r="G450" s="26">
        <f>Source!DI299</f>
      </c>
      <c r="H450" s="27"/>
      <c r="I450" s="26"/>
      <c r="J450" s="26"/>
      <c r="K450" s="27"/>
      <c r="L450" s="55">
        <f>Source!U299</f>
        <v>15.479999999999999</v>
      </c>
    </row>
    <row r="451" spans="1:26" s="9" customFormat="1" ht="11.25">
      <c r="A451" s="43"/>
      <c r="B451" s="14"/>
      <c r="C451" s="14"/>
      <c r="D451" s="14"/>
      <c r="E451" s="14"/>
      <c r="F451" s="14"/>
      <c r="G451" s="87">
        <f>H447+H448+H449</f>
        <v>323.4</v>
      </c>
      <c r="H451" s="87"/>
      <c r="I451" s="14"/>
      <c r="J451" s="87">
        <f>K447+K448+K449</f>
        <v>5824.599999999999</v>
      </c>
      <c r="K451" s="87"/>
      <c r="L451" s="56">
        <f>Source!U299</f>
        <v>15.479999999999999</v>
      </c>
      <c r="O451" s="28">
        <f>G451</f>
        <v>323.4</v>
      </c>
      <c r="P451" s="28">
        <f>J451</f>
        <v>5824.599999999999</v>
      </c>
      <c r="Q451" s="10">
        <f>L451</f>
        <v>15.479999999999999</v>
      </c>
      <c r="W451" s="9">
        <f>IF(Source!BI299&lt;=1,H447+H448+H449,0)</f>
        <v>323.4</v>
      </c>
      <c r="X451" s="9">
        <f>IF(Source!BI299=2,H447+H448+H449,0)</f>
        <v>0</v>
      </c>
      <c r="Y451" s="9">
        <f>IF(Source!BI299=3,H447+H448+H449,0)</f>
        <v>0</v>
      </c>
      <c r="Z451" s="9">
        <f>IF(Source!BI299=4,H447+H448+H449,0)</f>
        <v>0</v>
      </c>
    </row>
    <row r="452" spans="1:22" s="9" customFormat="1" ht="78.75">
      <c r="A452" s="45" t="str">
        <f>Source!E300</f>
        <v>48</v>
      </c>
      <c r="B452" s="46" t="str">
        <f>Source!BJ300</f>
        <v>ФЕР-2001, 47-01-046-04, приказ Минстроя России №1039/пр от 30.12.2016г.</v>
      </c>
      <c r="C452" s="46" t="str">
        <f>Source!G300</f>
        <v>Подготовка почвы для устройства партерного и обыкновенного газона с внесением растительной земли слоем 15 см вручную</v>
      </c>
      <c r="D452" s="47" t="str">
        <f>Source!H300</f>
        <v>100 м2</v>
      </c>
      <c r="E452" s="48">
        <f>Source!I300</f>
        <v>1.2</v>
      </c>
      <c r="F452" s="49">
        <f>Source!AL300+Source!AM300+Source!AO300</f>
        <v>2296.1</v>
      </c>
      <c r="G452" s="50"/>
      <c r="H452" s="51"/>
      <c r="I452" s="50" t="str">
        <f>Source!BO300</f>
        <v>РСЦ с 1.09.2017г.</v>
      </c>
      <c r="J452" s="50"/>
      <c r="K452" s="51"/>
      <c r="L452" s="52"/>
      <c r="S452" s="9">
        <f>ROUND((Source!FX300/100)*((ROUND(Source!AF300*Source!I300,1)+ROUND(Source!AE300*Source!I300,1))),1)</f>
        <v>438.3</v>
      </c>
      <c r="T452" s="9">
        <f>Source!X300</f>
        <v>7455.1</v>
      </c>
      <c r="U452" s="9">
        <f>ROUND((Source!FY300/100)*((ROUND(Source!AF300*Source!I300,1)+ROUND(Source!AE300*Source!I300,1))),1)</f>
        <v>343</v>
      </c>
      <c r="V452" s="9">
        <f>Source!Y300</f>
        <v>5477.2</v>
      </c>
    </row>
    <row r="453" spans="1:18" s="9" customFormat="1" ht="11.25">
      <c r="A453" s="45"/>
      <c r="B453" s="46"/>
      <c r="C453" s="46" t="s">
        <v>758</v>
      </c>
      <c r="D453" s="47"/>
      <c r="E453" s="48"/>
      <c r="F453" s="49">
        <f>Source!AO300</f>
        <v>317.6</v>
      </c>
      <c r="G453" s="50">
        <f>Source!DG300</f>
      </c>
      <c r="H453" s="51">
        <f>ROUND(Source!AF300*Source!I300,1)</f>
        <v>381.1</v>
      </c>
      <c r="I453" s="50"/>
      <c r="J453" s="50">
        <f>IF(Source!BA300&lt;&gt;0,Source!BA300,1)</f>
        <v>19.96</v>
      </c>
      <c r="K453" s="51">
        <f>Source!S300</f>
        <v>7607.2</v>
      </c>
      <c r="L453" s="52"/>
      <c r="R453" s="9">
        <f>H453</f>
        <v>381.1</v>
      </c>
    </row>
    <row r="454" spans="1:12" s="9" customFormat="1" ht="11.25">
      <c r="A454" s="45"/>
      <c r="B454" s="46"/>
      <c r="C454" s="46" t="s">
        <v>765</v>
      </c>
      <c r="D454" s="47"/>
      <c r="E454" s="48"/>
      <c r="F454" s="49">
        <f>Source!AL300</f>
        <v>1978.5</v>
      </c>
      <c r="G454" s="50">
        <f>Source!DD300</f>
      </c>
      <c r="H454" s="51">
        <f>ROUND(Source!AC300*Source!I300,1)</f>
        <v>2374.2</v>
      </c>
      <c r="I454" s="50"/>
      <c r="J454" s="50">
        <f>IF(Source!BC300&lt;&gt;0,Source!BC300,1)</f>
        <v>5.66</v>
      </c>
      <c r="K454" s="51">
        <f>Source!P300</f>
        <v>13438</v>
      </c>
      <c r="L454" s="52"/>
    </row>
    <row r="455" spans="1:12" s="9" customFormat="1" ht="11.25">
      <c r="A455" s="45"/>
      <c r="B455" s="46"/>
      <c r="C455" s="46" t="s">
        <v>759</v>
      </c>
      <c r="D455" s="47" t="s">
        <v>760</v>
      </c>
      <c r="E455" s="48">
        <f>Source!BZ300</f>
        <v>115</v>
      </c>
      <c r="F455" s="53"/>
      <c r="G455" s="50"/>
      <c r="H455" s="51">
        <f>SUM(S452:S458)</f>
        <v>438.3</v>
      </c>
      <c r="I455" s="50" t="str">
        <f>CONCATENATE(Source!FX300,Source!FV300,"=")</f>
        <v>115*0,85=</v>
      </c>
      <c r="J455" s="13">
        <f>Source!AT300</f>
        <v>98</v>
      </c>
      <c r="K455" s="51">
        <f>SUM(T452:T458)</f>
        <v>7455.1</v>
      </c>
      <c r="L455" s="52"/>
    </row>
    <row r="456" spans="1:12" s="9" customFormat="1" ht="11.25">
      <c r="A456" s="45"/>
      <c r="B456" s="46"/>
      <c r="C456" s="46" t="s">
        <v>761</v>
      </c>
      <c r="D456" s="47" t="s">
        <v>760</v>
      </c>
      <c r="E456" s="48">
        <f>Source!CA300</f>
        <v>90</v>
      </c>
      <c r="F456" s="53"/>
      <c r="G456" s="50"/>
      <c r="H456" s="51">
        <f>SUM(U452:U458)</f>
        <v>343</v>
      </c>
      <c r="I456" s="50" t="str">
        <f>CONCATENATE(Source!FY300,Source!FW300,"=")</f>
        <v>90*0,8=</v>
      </c>
      <c r="J456" s="13">
        <f>Source!AU300</f>
        <v>72</v>
      </c>
      <c r="K456" s="51">
        <f>SUM(V452:V458)</f>
        <v>5477.2</v>
      </c>
      <c r="L456" s="52"/>
    </row>
    <row r="457" spans="1:12" s="9" customFormat="1" ht="11.25">
      <c r="A457" s="45"/>
      <c r="B457" s="46"/>
      <c r="C457" s="46" t="s">
        <v>762</v>
      </c>
      <c r="D457" s="47" t="s">
        <v>763</v>
      </c>
      <c r="E457" s="48">
        <f>Source!AQ300</f>
        <v>40</v>
      </c>
      <c r="F457" s="49"/>
      <c r="G457" s="50">
        <f>Source!DI300</f>
      </c>
      <c r="H457" s="51"/>
      <c r="I457" s="50"/>
      <c r="J457" s="50"/>
      <c r="K457" s="51"/>
      <c r="L457" s="65">
        <f>Source!U300</f>
        <v>48</v>
      </c>
    </row>
    <row r="458" spans="1:26" s="9" customFormat="1" ht="78.75">
      <c r="A458" s="54" t="str">
        <f>Source!E301</f>
        <v>48,1</v>
      </c>
      <c r="B458" s="22" t="str">
        <f>Source!BJ301</f>
        <v>ФССЦ-2001, 16.2.01.03-0011, приказ Минстроя России №1039/пр от 30.12.2016г.</v>
      </c>
      <c r="C458" s="22" t="str">
        <f>Source!G301</f>
        <v>Торф</v>
      </c>
      <c r="D458" s="23" t="str">
        <f>Source!H301</f>
        <v>м3</v>
      </c>
      <c r="E458" s="24">
        <f>Source!I301</f>
        <v>2</v>
      </c>
      <c r="F458" s="25">
        <f>Source!AL301+Source!AM301+Source!AO301</f>
        <v>366.1</v>
      </c>
      <c r="G458" s="32" t="s">
        <v>3</v>
      </c>
      <c r="H458" s="27">
        <f>ROUND(Source!AC301*Source!I301,1)+ROUND(Source!AD301*Source!I301,1)+ROUND(Source!AF301*Source!I301,1)</f>
        <v>732.2</v>
      </c>
      <c r="I458" s="26"/>
      <c r="J458" s="26">
        <f>IF(Source!BC301&lt;&gt;0,Source!BC301,1)</f>
        <v>5.66</v>
      </c>
      <c r="K458" s="27">
        <f>Source!O301</f>
        <v>4144.3</v>
      </c>
      <c r="L458" s="57"/>
      <c r="S458" s="9">
        <f>ROUND((Source!FX301/100)*((ROUND(Source!AF301*Source!I301,1)+ROUND(Source!AE301*Source!I301,1))),1)</f>
        <v>0</v>
      </c>
      <c r="T458" s="9">
        <f>Source!X301</f>
        <v>0</v>
      </c>
      <c r="U458" s="9">
        <f>ROUND((Source!FY301/100)*((ROUND(Source!AF301*Source!I301,1)+ROUND(Source!AE301*Source!I301,1))),1)</f>
        <v>0</v>
      </c>
      <c r="V458" s="9">
        <f>Source!Y301</f>
        <v>0</v>
      </c>
      <c r="W458" s="9">
        <f>IF(Source!BI301&lt;=1,H458,0)</f>
        <v>732.2</v>
      </c>
      <c r="X458" s="9">
        <f>IF(Source!BI301=2,H458,0)</f>
        <v>0</v>
      </c>
      <c r="Y458" s="9">
        <f>IF(Source!BI301=3,H458,0)</f>
        <v>0</v>
      </c>
      <c r="Z458" s="9">
        <f>IF(Source!BI301=4,H458,0)</f>
        <v>0</v>
      </c>
    </row>
    <row r="459" spans="1:26" s="9" customFormat="1" ht="11.25">
      <c r="A459" s="43"/>
      <c r="B459" s="14"/>
      <c r="C459" s="14"/>
      <c r="D459" s="14"/>
      <c r="E459" s="14"/>
      <c r="F459" s="14"/>
      <c r="G459" s="87">
        <f>H453+H454+H455+H456+SUM(H458:H458)</f>
        <v>4268.8</v>
      </c>
      <c r="H459" s="87"/>
      <c r="I459" s="14"/>
      <c r="J459" s="87">
        <f>K453+K454+K455+K456+SUM(K458:K458)</f>
        <v>38121.8</v>
      </c>
      <c r="K459" s="87"/>
      <c r="L459" s="56">
        <f>Source!U300</f>
        <v>48</v>
      </c>
      <c r="O459" s="28">
        <f>G459</f>
        <v>4268.8</v>
      </c>
      <c r="P459" s="28">
        <f>J459</f>
        <v>38121.8</v>
      </c>
      <c r="Q459" s="10">
        <f>L459</f>
        <v>48</v>
      </c>
      <c r="W459" s="9">
        <f>IF(Source!BI300&lt;=1,H453+H454+H455+H456,0)</f>
        <v>3536.6</v>
      </c>
      <c r="X459" s="9">
        <f>IF(Source!BI300=2,H453+H454+H455+H456,0)</f>
        <v>0</v>
      </c>
      <c r="Y459" s="9">
        <f>IF(Source!BI300=3,H453+H454+H455+H456,0)</f>
        <v>0</v>
      </c>
      <c r="Z459" s="9">
        <f>IF(Source!BI300=4,H453+H454+H455+H456,0)</f>
        <v>0</v>
      </c>
    </row>
    <row r="460" spans="1:22" s="9" customFormat="1" ht="78.75">
      <c r="A460" s="45" t="str">
        <f>Source!E302</f>
        <v>49</v>
      </c>
      <c r="B460" s="46" t="str">
        <f>Source!BJ302</f>
        <v>ФЕР-2001, 47-02-093-02, приказ Минстроя России №1039/пр от 30.12.2016г.</v>
      </c>
      <c r="C460" s="46" t="str">
        <f>Source!G302</f>
        <v>Посев многолетних трав</v>
      </c>
      <c r="D460" s="47" t="str">
        <f>Source!H302</f>
        <v>га</v>
      </c>
      <c r="E460" s="48">
        <f>Source!I302</f>
        <v>0.012</v>
      </c>
      <c r="F460" s="49">
        <f>Source!AL302+Source!AM302+Source!AO302</f>
        <v>61.41</v>
      </c>
      <c r="G460" s="50"/>
      <c r="H460" s="51"/>
      <c r="I460" s="50" t="str">
        <f>Source!BO302</f>
        <v>РСЦ с 1.09.2017г.</v>
      </c>
      <c r="J460" s="50"/>
      <c r="K460" s="51"/>
      <c r="L460" s="52"/>
      <c r="S460" s="9">
        <f>ROUND((Source!FX302/100)*((ROUND(Source!AF302*Source!I302,1)+ROUND(Source!AE302*Source!I302,1))),1)</f>
        <v>0.1</v>
      </c>
      <c r="T460" s="9">
        <f>Source!X302</f>
        <v>1.6</v>
      </c>
      <c r="U460" s="9">
        <f>ROUND((Source!FY302/100)*((ROUND(Source!AF302*Source!I302,1)+ROUND(Source!AE302*Source!I302,1))),1)</f>
        <v>0.1</v>
      </c>
      <c r="V460" s="9">
        <f>Source!Y302</f>
        <v>1.2</v>
      </c>
    </row>
    <row r="461" spans="1:12" s="9" customFormat="1" ht="11.25">
      <c r="A461" s="45"/>
      <c r="B461" s="46"/>
      <c r="C461" s="46" t="s">
        <v>71</v>
      </c>
      <c r="D461" s="47"/>
      <c r="E461" s="48"/>
      <c r="F461" s="49">
        <f>Source!AM302</f>
        <v>61.41</v>
      </c>
      <c r="G461" s="50">
        <f>Source!DE302</f>
      </c>
      <c r="H461" s="51">
        <f>ROUND(Source!AD302*Source!I302,1)</f>
        <v>0.7</v>
      </c>
      <c r="I461" s="50"/>
      <c r="J461" s="50">
        <f>IF(Source!BB302&lt;&gt;0,Source!BB302,1)</f>
        <v>7.11</v>
      </c>
      <c r="K461" s="51">
        <f>Source!Q302</f>
        <v>5.2</v>
      </c>
      <c r="L461" s="52"/>
    </row>
    <row r="462" spans="1:18" s="9" customFormat="1" ht="11.25">
      <c r="A462" s="45"/>
      <c r="B462" s="46"/>
      <c r="C462" s="46" t="s">
        <v>764</v>
      </c>
      <c r="D462" s="47"/>
      <c r="E462" s="48"/>
      <c r="F462" s="49">
        <f>Source!AN302</f>
        <v>6.75</v>
      </c>
      <c r="G462" s="50">
        <f>Source!DF302</f>
      </c>
      <c r="H462" s="59">
        <f>ROUND(Source!AE302*Source!I302,1)</f>
        <v>0.1</v>
      </c>
      <c r="I462" s="50"/>
      <c r="J462" s="50">
        <f>IF(Source!BS302&lt;&gt;0,Source!BS302,1)</f>
        <v>19.96</v>
      </c>
      <c r="K462" s="59">
        <f>Source!R302</f>
        <v>1.6</v>
      </c>
      <c r="L462" s="52"/>
      <c r="R462" s="9">
        <f>H462</f>
        <v>0.1</v>
      </c>
    </row>
    <row r="463" spans="1:12" s="9" customFormat="1" ht="11.25">
      <c r="A463" s="45"/>
      <c r="B463" s="46"/>
      <c r="C463" s="46" t="s">
        <v>759</v>
      </c>
      <c r="D463" s="47" t="s">
        <v>760</v>
      </c>
      <c r="E463" s="48">
        <f>Source!BZ302</f>
        <v>115</v>
      </c>
      <c r="F463" s="53"/>
      <c r="G463" s="50"/>
      <c r="H463" s="51">
        <f>SUM(S460:S465)</f>
        <v>0.1</v>
      </c>
      <c r="I463" s="50" t="str">
        <f>CONCATENATE(Source!FX302,Source!FV302,"=")</f>
        <v>115*0,85=</v>
      </c>
      <c r="J463" s="13">
        <f>Source!AT302</f>
        <v>98</v>
      </c>
      <c r="K463" s="51">
        <f>SUM(T460:T465)</f>
        <v>1.6</v>
      </c>
      <c r="L463" s="52"/>
    </row>
    <row r="464" spans="1:12" s="9" customFormat="1" ht="11.25">
      <c r="A464" s="45"/>
      <c r="B464" s="46"/>
      <c r="C464" s="46" t="s">
        <v>761</v>
      </c>
      <c r="D464" s="47" t="s">
        <v>760</v>
      </c>
      <c r="E464" s="48">
        <f>Source!CA302</f>
        <v>90</v>
      </c>
      <c r="F464" s="53"/>
      <c r="G464" s="50"/>
      <c r="H464" s="51">
        <f>SUM(U460:U465)</f>
        <v>0.1</v>
      </c>
      <c r="I464" s="50" t="str">
        <f>CONCATENATE(Source!FY302,Source!FW302,"=")</f>
        <v>90*0,8=</v>
      </c>
      <c r="J464" s="13">
        <f>Source!AU302</f>
        <v>72</v>
      </c>
      <c r="K464" s="51">
        <f>SUM(V460:V465)</f>
        <v>1.2</v>
      </c>
      <c r="L464" s="52"/>
    </row>
    <row r="465" spans="1:26" s="9" customFormat="1" ht="78.75">
      <c r="A465" s="54" t="str">
        <f>Source!E303</f>
        <v>49,1</v>
      </c>
      <c r="B465" s="22" t="str">
        <f>Source!BJ303</f>
        <v>ФССЦ-2001, 16.2.02.07-0161, приказ Минстроя России №1039/пр от 30.12.2016г.</v>
      </c>
      <c r="C465" s="22" t="str">
        <f>Source!G303</f>
        <v>Семена газонных трав (смесь)</v>
      </c>
      <c r="D465" s="23" t="str">
        <f>Source!H303</f>
        <v>кг</v>
      </c>
      <c r="E465" s="24">
        <f>Source!I303</f>
        <v>7.68</v>
      </c>
      <c r="F465" s="25">
        <f>Source!AL303+Source!AM303+Source!AO303</f>
        <v>146.25</v>
      </c>
      <c r="G465" s="32" t="s">
        <v>3</v>
      </c>
      <c r="H465" s="27">
        <f>ROUND(Source!AC303*Source!I303,1)+ROUND(Source!AD303*Source!I303,1)+ROUND(Source!AF303*Source!I303,1)</f>
        <v>1123.2</v>
      </c>
      <c r="I465" s="26"/>
      <c r="J465" s="26">
        <f>IF(Source!BC303&lt;&gt;0,Source!BC303,1)</f>
        <v>5.66</v>
      </c>
      <c r="K465" s="27">
        <f>Source!O303</f>
        <v>6357.3</v>
      </c>
      <c r="L465" s="57"/>
      <c r="S465" s="9">
        <f>ROUND((Source!FX303/100)*((ROUND(Source!AF303*Source!I303,1)+ROUND(Source!AE303*Source!I303,1))),1)</f>
        <v>0</v>
      </c>
      <c r="T465" s="9">
        <f>Source!X303</f>
        <v>0</v>
      </c>
      <c r="U465" s="9">
        <f>ROUND((Source!FY303/100)*((ROUND(Source!AF303*Source!I303,1)+ROUND(Source!AE303*Source!I303,1))),1)</f>
        <v>0</v>
      </c>
      <c r="V465" s="9">
        <f>Source!Y303</f>
        <v>0</v>
      </c>
      <c r="W465" s="9">
        <f>IF(Source!BI303&lt;=1,H465,0)</f>
        <v>1123.2</v>
      </c>
      <c r="X465" s="9">
        <f>IF(Source!BI303=2,H465,0)</f>
        <v>0</v>
      </c>
      <c r="Y465" s="9">
        <f>IF(Source!BI303=3,H465,0)</f>
        <v>0</v>
      </c>
      <c r="Z465" s="9">
        <f>IF(Source!BI303=4,H465,0)</f>
        <v>0</v>
      </c>
    </row>
    <row r="466" spans="1:26" s="9" customFormat="1" ht="11.25">
      <c r="A466" s="43"/>
      <c r="B466" s="14"/>
      <c r="C466" s="14"/>
      <c r="D466" s="14"/>
      <c r="E466" s="14"/>
      <c r="F466" s="14"/>
      <c r="G466" s="87">
        <f>H461+H463+H464+SUM(H465:H465)</f>
        <v>1124.1000000000001</v>
      </c>
      <c r="H466" s="87"/>
      <c r="I466" s="14"/>
      <c r="J466" s="87">
        <f>K461+K463+K464+SUM(K465:K465)</f>
        <v>6365.3</v>
      </c>
      <c r="K466" s="87"/>
      <c r="L466" s="56">
        <f>Source!U302</f>
        <v>0</v>
      </c>
      <c r="O466" s="28">
        <f>G466</f>
        <v>1124.1000000000001</v>
      </c>
      <c r="P466" s="28">
        <f>J466</f>
        <v>6365.3</v>
      </c>
      <c r="Q466" s="10">
        <f>L466</f>
        <v>0</v>
      </c>
      <c r="W466" s="9">
        <f>IF(Source!BI302&lt;=1,H461+H463+H464,0)</f>
        <v>0.8999999999999999</v>
      </c>
      <c r="X466" s="9">
        <f>IF(Source!BI302=2,H461+H463+H464,0)</f>
        <v>0</v>
      </c>
      <c r="Y466" s="9">
        <f>IF(Source!BI302=3,H461+H463+H464,0)</f>
        <v>0</v>
      </c>
      <c r="Z466" s="9">
        <f>IF(Source!BI302=4,H461+H463+H464,0)</f>
        <v>0</v>
      </c>
    </row>
    <row r="467" spans="1:22" s="9" customFormat="1" ht="78.75">
      <c r="A467" s="45" t="str">
        <f>Source!E304</f>
        <v>50</v>
      </c>
      <c r="B467" s="46" t="str">
        <f>Source!BJ304</f>
        <v>ФЕР-2001, 01-02-041-01, приказ Минстроя России №1039/пр от 30.12.2016г.</v>
      </c>
      <c r="C467" s="46" t="str">
        <f>Source!G304</f>
        <v>Полив посевов трав водой</v>
      </c>
      <c r="D467" s="47" t="str">
        <f>Source!H304</f>
        <v>100 м2</v>
      </c>
      <c r="E467" s="48">
        <f>Source!I304</f>
        <v>2.5</v>
      </c>
      <c r="F467" s="49">
        <f>Source!AL304+Source!AM304+Source!AO304</f>
        <v>241.04999999999998</v>
      </c>
      <c r="G467" s="50"/>
      <c r="H467" s="51"/>
      <c r="I467" s="50" t="str">
        <f>Source!BO304</f>
        <v>РСЦ с 1.09.2017г.</v>
      </c>
      <c r="J467" s="50"/>
      <c r="K467" s="51"/>
      <c r="L467" s="52"/>
      <c r="S467" s="9">
        <f>ROUND((Source!FX304/100)*((ROUND(Source!AF304*Source!I304,1)+ROUND(Source!AE304*Source!I304,1))),1)</f>
        <v>71.5</v>
      </c>
      <c r="T467" s="9">
        <f>Source!X304</f>
        <v>1213.1</v>
      </c>
      <c r="U467" s="9">
        <f>ROUND((Source!FY304/100)*((ROUND(Source!AF304*Source!I304,1)+ROUND(Source!AE304*Source!I304,1))),1)</f>
        <v>40.2</v>
      </c>
      <c r="V467" s="9">
        <f>Source!Y304</f>
        <v>642.2</v>
      </c>
    </row>
    <row r="468" spans="1:18" s="9" customFormat="1" ht="11.25">
      <c r="A468" s="45"/>
      <c r="B468" s="46"/>
      <c r="C468" s="46" t="s">
        <v>758</v>
      </c>
      <c r="D468" s="47"/>
      <c r="E468" s="48"/>
      <c r="F468" s="49">
        <f>Source!AO304</f>
        <v>13.01</v>
      </c>
      <c r="G468" s="50">
        <f>Source!DG304</f>
      </c>
      <c r="H468" s="51">
        <f>ROUND(Source!AF304*Source!I304,1)</f>
        <v>32.5</v>
      </c>
      <c r="I468" s="50"/>
      <c r="J468" s="50">
        <f>IF(Source!BA304&lt;&gt;0,Source!BA304,1)</f>
        <v>19.96</v>
      </c>
      <c r="K468" s="51">
        <f>Source!S304</f>
        <v>649.2</v>
      </c>
      <c r="L468" s="52"/>
      <c r="R468" s="9">
        <f>H468</f>
        <v>32.5</v>
      </c>
    </row>
    <row r="469" spans="1:12" s="9" customFormat="1" ht="11.25">
      <c r="A469" s="45"/>
      <c r="B469" s="46"/>
      <c r="C469" s="46" t="s">
        <v>71</v>
      </c>
      <c r="D469" s="47"/>
      <c r="E469" s="48"/>
      <c r="F469" s="49">
        <f>Source!AM304</f>
        <v>215.6</v>
      </c>
      <c r="G469" s="50">
        <f>Source!DE304</f>
      </c>
      <c r="H469" s="51">
        <f>ROUND(Source!AD304*Source!I304,1)</f>
        <v>539</v>
      </c>
      <c r="I469" s="50"/>
      <c r="J469" s="50">
        <f>IF(Source!BB304&lt;&gt;0,Source!BB304,1)</f>
        <v>7.11</v>
      </c>
      <c r="K469" s="51">
        <f>Source!Q304</f>
        <v>3832.3</v>
      </c>
      <c r="L469" s="52"/>
    </row>
    <row r="470" spans="1:18" s="9" customFormat="1" ht="11.25">
      <c r="A470" s="45"/>
      <c r="B470" s="46"/>
      <c r="C470" s="46" t="s">
        <v>764</v>
      </c>
      <c r="D470" s="47"/>
      <c r="E470" s="48"/>
      <c r="F470" s="49">
        <f>Source!AN304</f>
        <v>22.74</v>
      </c>
      <c r="G470" s="50">
        <f>Source!DF304</f>
      </c>
      <c r="H470" s="59">
        <f>ROUND(Source!AE304*Source!I304,1)</f>
        <v>56.9</v>
      </c>
      <c r="I470" s="50"/>
      <c r="J470" s="50">
        <f>IF(Source!BS304&lt;&gt;0,Source!BS304,1)</f>
        <v>19.96</v>
      </c>
      <c r="K470" s="59">
        <f>Source!R304</f>
        <v>1134.7</v>
      </c>
      <c r="L470" s="52"/>
      <c r="R470" s="9">
        <f>H470</f>
        <v>56.9</v>
      </c>
    </row>
    <row r="471" spans="1:12" s="9" customFormat="1" ht="11.25">
      <c r="A471" s="45"/>
      <c r="B471" s="46"/>
      <c r="C471" s="46" t="s">
        <v>765</v>
      </c>
      <c r="D471" s="47"/>
      <c r="E471" s="48"/>
      <c r="F471" s="49">
        <f>Source!AL304</f>
        <v>12.44</v>
      </c>
      <c r="G471" s="50">
        <f>Source!DD304</f>
      </c>
      <c r="H471" s="51">
        <f>ROUND(Source!AC304*Source!I304,1)</f>
        <v>31.1</v>
      </c>
      <c r="I471" s="50"/>
      <c r="J471" s="50">
        <f>IF(Source!BC304&lt;&gt;0,Source!BC304,1)</f>
        <v>5.66</v>
      </c>
      <c r="K471" s="51">
        <f>Source!P304</f>
        <v>176</v>
      </c>
      <c r="L471" s="52"/>
    </row>
    <row r="472" spans="1:12" s="9" customFormat="1" ht="11.25">
      <c r="A472" s="45"/>
      <c r="B472" s="46"/>
      <c r="C472" s="46" t="s">
        <v>759</v>
      </c>
      <c r="D472" s="47" t="s">
        <v>760</v>
      </c>
      <c r="E472" s="48">
        <f>Source!BZ304</f>
        <v>80</v>
      </c>
      <c r="F472" s="53"/>
      <c r="G472" s="50"/>
      <c r="H472" s="51">
        <f>SUM(S467:S474)</f>
        <v>71.5</v>
      </c>
      <c r="I472" s="50" t="str">
        <f>CONCATENATE(Source!FX304,Source!FV304,"=")</f>
        <v>80*0,85=</v>
      </c>
      <c r="J472" s="13">
        <f>Source!AT304</f>
        <v>68</v>
      </c>
      <c r="K472" s="51">
        <f>SUM(T467:T474)</f>
        <v>1213.1</v>
      </c>
      <c r="L472" s="52"/>
    </row>
    <row r="473" spans="1:12" s="9" customFormat="1" ht="11.25">
      <c r="A473" s="45"/>
      <c r="B473" s="46"/>
      <c r="C473" s="46" t="s">
        <v>761</v>
      </c>
      <c r="D473" s="47" t="s">
        <v>760</v>
      </c>
      <c r="E473" s="48">
        <f>Source!CA304</f>
        <v>45</v>
      </c>
      <c r="F473" s="53"/>
      <c r="G473" s="50"/>
      <c r="H473" s="51">
        <f>SUM(U467:U474)</f>
        <v>40.2</v>
      </c>
      <c r="I473" s="50" t="str">
        <f>CONCATENATE(Source!FY304,Source!FW304,"=")</f>
        <v>45*0,8=</v>
      </c>
      <c r="J473" s="13">
        <f>Source!AU304</f>
        <v>36</v>
      </c>
      <c r="K473" s="51">
        <f>SUM(V467:V474)</f>
        <v>642.2</v>
      </c>
      <c r="L473" s="52"/>
    </row>
    <row r="474" spans="1:12" s="9" customFormat="1" ht="11.25">
      <c r="A474" s="54"/>
      <c r="B474" s="22"/>
      <c r="C474" s="22" t="s">
        <v>762</v>
      </c>
      <c r="D474" s="23" t="s">
        <v>763</v>
      </c>
      <c r="E474" s="24">
        <f>Source!AQ304</f>
        <v>1.81</v>
      </c>
      <c r="F474" s="25"/>
      <c r="G474" s="26">
        <f>Source!DI304</f>
      </c>
      <c r="H474" s="27"/>
      <c r="I474" s="26"/>
      <c r="J474" s="26"/>
      <c r="K474" s="27"/>
      <c r="L474" s="55">
        <f>Source!U304</f>
        <v>4.525</v>
      </c>
    </row>
    <row r="475" spans="1:26" s="9" customFormat="1" ht="11.25">
      <c r="A475" s="43"/>
      <c r="B475" s="14"/>
      <c r="C475" s="14"/>
      <c r="D475" s="14"/>
      <c r="E475" s="14"/>
      <c r="F475" s="14"/>
      <c r="G475" s="87">
        <f>H468+H469+H471+H472+H473</f>
        <v>714.3000000000001</v>
      </c>
      <c r="H475" s="87"/>
      <c r="I475" s="14"/>
      <c r="J475" s="87">
        <f>K468+K469+K471+K472+K473</f>
        <v>6512.8</v>
      </c>
      <c r="K475" s="87"/>
      <c r="L475" s="56">
        <f>Source!U304</f>
        <v>4.525</v>
      </c>
      <c r="O475" s="28">
        <f>G475</f>
        <v>714.3000000000001</v>
      </c>
      <c r="P475" s="28">
        <f>J475</f>
        <v>6512.8</v>
      </c>
      <c r="Q475" s="10">
        <f>L475</f>
        <v>4.525</v>
      </c>
      <c r="W475" s="9">
        <f>IF(Source!BI304&lt;=1,H468+H469+H471+H472+H473,0)</f>
        <v>714.3000000000001</v>
      </c>
      <c r="X475" s="9">
        <f>IF(Source!BI304=2,H468+H469+H471+H472+H473,0)</f>
        <v>0</v>
      </c>
      <c r="Y475" s="9">
        <f>IF(Source!BI304=3,H468+H469+H471+H472+H473,0)</f>
        <v>0</v>
      </c>
      <c r="Z475" s="9">
        <f>IF(Source!BI304=4,H468+H469+H471+H472+H473,0)</f>
        <v>0</v>
      </c>
    </row>
    <row r="476" spans="1:32" s="9" customFormat="1" ht="11.25">
      <c r="A476" s="95" t="str">
        <f>CONCATENATE("Итого по разделу: ",IF(Source!G306&lt;&gt;"Новый раздел",Source!G306,""))</f>
        <v>Итого по разделу: Восстановление газонов, благоустройство</v>
      </c>
      <c r="B476" s="96"/>
      <c r="C476" s="96"/>
      <c r="D476" s="96"/>
      <c r="E476" s="96"/>
      <c r="F476" s="96"/>
      <c r="G476" s="94">
        <f>SUM(O445:O475)</f>
        <v>6430.6</v>
      </c>
      <c r="H476" s="94"/>
      <c r="I476" s="58"/>
      <c r="J476" s="94">
        <f>SUM(P445:P475)</f>
        <v>56824.50000000001</v>
      </c>
      <c r="K476" s="94"/>
      <c r="L476" s="56">
        <f>SUM(Q445:Q475)</f>
        <v>68.005</v>
      </c>
      <c r="AF476" s="33" t="str">
        <f>CONCATENATE("Итого по разделу: ",IF(Source!G306&lt;&gt;"Новый раздел",Source!G306,""))</f>
        <v>Итого по разделу: Восстановление газонов, благоустройство</v>
      </c>
    </row>
    <row r="477" spans="1:12" s="9" customFormat="1" ht="11.25">
      <c r="A477" s="95" t="str">
        <f>CONCATENATE("Итого по локальной смете: ",IF(Source!G335&lt;&gt;"Новая локальная смета",Source!G335,""))</f>
        <v>Итого по локальной смете: </v>
      </c>
      <c r="B477" s="96"/>
      <c r="C477" s="96"/>
      <c r="D477" s="96"/>
      <c r="E477" s="96"/>
      <c r="F477" s="96"/>
      <c r="G477" s="94">
        <f>SUM(O26:O476)</f>
        <v>691145.8000000003</v>
      </c>
      <c r="H477" s="94"/>
      <c r="I477" s="58"/>
      <c r="J477" s="94">
        <f>SUM(P26:P476)</f>
        <v>3107113.9</v>
      </c>
      <c r="K477" s="94"/>
      <c r="L477" s="56">
        <f>SUM(Q26:Q476)</f>
        <v>803.6263416</v>
      </c>
    </row>
    <row r="478" spans="1:12" s="9" customFormat="1" ht="11.25">
      <c r="A478" s="43"/>
      <c r="B478" s="14"/>
      <c r="C478" s="73" t="str">
        <f>Source!H337</f>
        <v>Прямые затраты</v>
      </c>
      <c r="D478" s="73"/>
      <c r="E478" s="73"/>
      <c r="F478" s="73"/>
      <c r="G478" s="73"/>
      <c r="H478" s="73"/>
      <c r="I478" s="73"/>
      <c r="J478" s="86">
        <f>IF(Source!F337=0,"",Source!F337)</f>
        <v>2886833.3</v>
      </c>
      <c r="K478" s="86"/>
      <c r="L478" s="44"/>
    </row>
    <row r="479" spans="1:12" s="9" customFormat="1" ht="11.25">
      <c r="A479" s="43"/>
      <c r="B479" s="14"/>
      <c r="C479" s="73" t="str">
        <f>Source!H338</f>
        <v>Стоимость материальных ресурсов (всего)</v>
      </c>
      <c r="D479" s="73"/>
      <c r="E479" s="73"/>
      <c r="F479" s="73"/>
      <c r="G479" s="73"/>
      <c r="H479" s="73"/>
      <c r="I479" s="73"/>
      <c r="J479" s="86">
        <f>IF(Source!F338=0,"",Source!F338)</f>
        <v>2662847.4</v>
      </c>
      <c r="K479" s="86"/>
      <c r="L479" s="44"/>
    </row>
    <row r="480" spans="1:12" s="9" customFormat="1" ht="11.25">
      <c r="A480" s="43"/>
      <c r="B480" s="14"/>
      <c r="C480" s="73" t="str">
        <f>Source!H341</f>
        <v>Стоимость материалов (всего)</v>
      </c>
      <c r="D480" s="73"/>
      <c r="E480" s="73"/>
      <c r="F480" s="73"/>
      <c r="G480" s="73"/>
      <c r="H480" s="73"/>
      <c r="I480" s="73"/>
      <c r="J480" s="86">
        <f>IF(Source!F341=0,"",Source!F341)</f>
        <v>218345.7</v>
      </c>
      <c r="K480" s="86"/>
      <c r="L480" s="44"/>
    </row>
    <row r="481" spans="1:12" s="9" customFormat="1" ht="11.25">
      <c r="A481" s="43"/>
      <c r="B481" s="14"/>
      <c r="C481" s="73" t="str">
        <f>Source!H344</f>
        <v>Стоимость оборудования (всего)</v>
      </c>
      <c r="D481" s="73"/>
      <c r="E481" s="73"/>
      <c r="F481" s="73"/>
      <c r="G481" s="73"/>
      <c r="H481" s="73"/>
      <c r="I481" s="73"/>
      <c r="J481" s="86">
        <f>IF(Source!F344=0,"",Source!F344)</f>
        <v>2444501.7</v>
      </c>
      <c r="K481" s="86"/>
      <c r="L481" s="44"/>
    </row>
    <row r="482" spans="1:12" s="9" customFormat="1" ht="11.25">
      <c r="A482" s="43"/>
      <c r="B482" s="14"/>
      <c r="C482" s="73" t="str">
        <f>Source!H347</f>
        <v>Эксплуатация машин</v>
      </c>
      <c r="D482" s="73"/>
      <c r="E482" s="73"/>
      <c r="F482" s="73"/>
      <c r="G482" s="73"/>
      <c r="H482" s="73"/>
      <c r="I482" s="73"/>
      <c r="J482" s="86">
        <f>IF(Source!F347=0,"",Source!F347)</f>
        <v>60134.6</v>
      </c>
      <c r="K482" s="86"/>
      <c r="L482" s="44"/>
    </row>
    <row r="483" spans="1:12" s="9" customFormat="1" ht="11.25">
      <c r="A483" s="43"/>
      <c r="B483" s="14"/>
      <c r="C483" s="73" t="str">
        <f>Source!H349</f>
        <v>ЗП машинистов</v>
      </c>
      <c r="D483" s="73"/>
      <c r="E483" s="73"/>
      <c r="F483" s="73"/>
      <c r="G483" s="73"/>
      <c r="H483" s="73"/>
      <c r="I483" s="73"/>
      <c r="J483" s="86">
        <f>IF(Source!F349=0,"",Source!F349)</f>
        <v>15306.7</v>
      </c>
      <c r="K483" s="86"/>
      <c r="L483" s="44"/>
    </row>
    <row r="484" spans="1:12" s="9" customFormat="1" ht="11.25">
      <c r="A484" s="43"/>
      <c r="B484" s="14"/>
      <c r="C484" s="73" t="str">
        <f>Source!H350</f>
        <v>Основная ЗП рабочих</v>
      </c>
      <c r="D484" s="73"/>
      <c r="E484" s="73"/>
      <c r="F484" s="73"/>
      <c r="G484" s="73"/>
      <c r="H484" s="73"/>
      <c r="I484" s="73"/>
      <c r="J484" s="86">
        <f>IF(Source!F350=0,"",Source!F350)</f>
        <v>163851.3</v>
      </c>
      <c r="K484" s="86"/>
      <c r="L484" s="44"/>
    </row>
    <row r="485" spans="1:12" s="9" customFormat="1" ht="11.25">
      <c r="A485" s="43"/>
      <c r="B485" s="14"/>
      <c r="C485" s="73" t="str">
        <f>Source!H352</f>
        <v>Строительные работы с НР и СП</v>
      </c>
      <c r="D485" s="73"/>
      <c r="E485" s="73"/>
      <c r="F485" s="73"/>
      <c r="G485" s="73"/>
      <c r="H485" s="73"/>
      <c r="I485" s="73"/>
      <c r="J485" s="86">
        <f>IF(Source!F352=0,"",Source!F352)</f>
        <v>450937.2</v>
      </c>
      <c r="K485" s="86"/>
      <c r="L485" s="44"/>
    </row>
    <row r="486" spans="1:12" s="9" customFormat="1" ht="11.25">
      <c r="A486" s="43"/>
      <c r="B486" s="14"/>
      <c r="C486" s="73" t="str">
        <f>Source!H353</f>
        <v>Монтажные работы с НР и СП</v>
      </c>
      <c r="D486" s="73"/>
      <c r="E486" s="73"/>
      <c r="F486" s="73"/>
      <c r="G486" s="73"/>
      <c r="H486" s="73"/>
      <c r="I486" s="73"/>
      <c r="J486" s="86">
        <f>IF(Source!F353=0,"",Source!F353)</f>
        <v>77366.7</v>
      </c>
      <c r="K486" s="86"/>
      <c r="L486" s="44"/>
    </row>
    <row r="487" spans="1:12" s="9" customFormat="1" ht="11.25">
      <c r="A487" s="43"/>
      <c r="B487" s="14"/>
      <c r="C487" s="73" t="str">
        <f>Source!H354</f>
        <v>Прочие работы с НР и СП</v>
      </c>
      <c r="D487" s="73"/>
      <c r="E487" s="73"/>
      <c r="F487" s="73"/>
      <c r="G487" s="73"/>
      <c r="H487" s="73"/>
      <c r="I487" s="73"/>
      <c r="J487" s="86">
        <f>IF(Source!F354=0,"",Source!F354)</f>
        <v>134308.3</v>
      </c>
      <c r="K487" s="86"/>
      <c r="L487" s="44"/>
    </row>
    <row r="488" spans="1:12" s="9" customFormat="1" ht="11.25">
      <c r="A488" s="43"/>
      <c r="B488" s="14"/>
      <c r="C488" s="73" t="str">
        <f>Source!H357</f>
        <v>Трудозатраты строителей</v>
      </c>
      <c r="D488" s="73"/>
      <c r="E488" s="73"/>
      <c r="F488" s="73"/>
      <c r="G488" s="73"/>
      <c r="H488" s="73"/>
      <c r="I488" s="73"/>
      <c r="J488" s="89">
        <f>IF(Source!F357=0,"",Source!F357)</f>
        <v>803.6263416</v>
      </c>
      <c r="K488" s="89"/>
      <c r="L488" s="44"/>
    </row>
    <row r="489" spans="1:12" s="9" customFormat="1" ht="11.25">
      <c r="A489" s="43"/>
      <c r="B489" s="14"/>
      <c r="C489" s="73" t="str">
        <f>Source!H360</f>
        <v>Накладные расходы</v>
      </c>
      <c r="D489" s="73"/>
      <c r="E489" s="73"/>
      <c r="F489" s="73"/>
      <c r="G489" s="73"/>
      <c r="H489" s="73"/>
      <c r="I489" s="73"/>
      <c r="J489" s="86">
        <f>IF(Source!F360=0,"",Source!F360)</f>
        <v>138539.9</v>
      </c>
      <c r="K489" s="86"/>
      <c r="L489" s="44"/>
    </row>
    <row r="490" spans="1:12" s="9" customFormat="1" ht="11.25">
      <c r="A490" s="43"/>
      <c r="B490" s="14"/>
      <c r="C490" s="73" t="str">
        <f>Source!H361</f>
        <v>Сметная прибыль</v>
      </c>
      <c r="D490" s="73"/>
      <c r="E490" s="73"/>
      <c r="F490" s="73"/>
      <c r="G490" s="73"/>
      <c r="H490" s="73"/>
      <c r="I490" s="73"/>
      <c r="J490" s="86">
        <f>IF(Source!F361=0,"",Source!F361)</f>
        <v>81740.7</v>
      </c>
      <c r="K490" s="86"/>
      <c r="L490" s="44"/>
    </row>
    <row r="491" spans="1:12" s="9" customFormat="1" ht="11.25">
      <c r="A491" s="43"/>
      <c r="B491" s="14"/>
      <c r="C491" s="73" t="str">
        <f>Source!H362</f>
        <v>Всего с НР и СП</v>
      </c>
      <c r="D491" s="73"/>
      <c r="E491" s="73"/>
      <c r="F491" s="73"/>
      <c r="G491" s="73"/>
      <c r="H491" s="73"/>
      <c r="I491" s="73"/>
      <c r="J491" s="86">
        <f>IF(Source!F362=0,"",Source!F362)</f>
        <v>3107113.9</v>
      </c>
      <c r="K491" s="86"/>
      <c r="L491" s="44"/>
    </row>
    <row r="492" spans="1:12" s="9" customFormat="1" ht="11.25">
      <c r="A492" s="43"/>
      <c r="B492" s="58"/>
      <c r="C492" s="96" t="s">
        <v>394</v>
      </c>
      <c r="D492" s="96"/>
      <c r="E492" s="96"/>
      <c r="F492" s="96"/>
      <c r="G492" s="96"/>
      <c r="H492" s="96"/>
      <c r="I492" s="96"/>
      <c r="J492" s="98">
        <f>J491</f>
        <v>3107113.9</v>
      </c>
      <c r="K492" s="98"/>
      <c r="L492" s="68"/>
    </row>
    <row r="493" spans="1:12" s="9" customFormat="1" ht="11.25">
      <c r="A493" s="43"/>
      <c r="B493" s="58"/>
      <c r="C493" s="58" t="s">
        <v>393</v>
      </c>
      <c r="D493" s="58"/>
      <c r="E493" s="58"/>
      <c r="F493" s="58"/>
      <c r="G493" s="58"/>
      <c r="H493" s="58"/>
      <c r="I493" s="58"/>
      <c r="J493" s="69"/>
      <c r="K493" s="69">
        <f>J492*0.18</f>
        <v>559280.502</v>
      </c>
      <c r="L493" s="68"/>
    </row>
    <row r="494" spans="1:12" s="9" customFormat="1" ht="11.25">
      <c r="A494" s="67"/>
      <c r="B494" s="70"/>
      <c r="C494" s="70" t="s">
        <v>394</v>
      </c>
      <c r="D494" s="70"/>
      <c r="E494" s="70"/>
      <c r="F494" s="70"/>
      <c r="G494" s="70"/>
      <c r="H494" s="70"/>
      <c r="I494" s="70"/>
      <c r="J494" s="71"/>
      <c r="K494" s="71">
        <f>J492+K493</f>
        <v>3666394.402</v>
      </c>
      <c r="L494" s="72"/>
    </row>
    <row r="495" spans="1:9" s="9" customFormat="1" ht="11.25">
      <c r="A495" s="41" t="s">
        <v>768</v>
      </c>
      <c r="B495" s="41"/>
      <c r="C495" s="11" t="s">
        <v>769</v>
      </c>
      <c r="D495" s="42" t="str">
        <f>IF(Source!AC12&lt;&gt;"",Source!AC12," ")</f>
        <v> </v>
      </c>
      <c r="E495" s="42"/>
      <c r="F495" s="42"/>
      <c r="G495" s="42"/>
      <c r="H495" s="42"/>
      <c r="I495" s="9" t="str">
        <f>IF(Source!AB12&lt;&gt;"",Source!AB12," ")</f>
        <v> </v>
      </c>
    </row>
    <row r="496" spans="3:8" s="9" customFormat="1" ht="11.25">
      <c r="C496" s="11"/>
      <c r="D496" s="91" t="s">
        <v>770</v>
      </c>
      <c r="E496" s="91"/>
      <c r="F496" s="91"/>
      <c r="G496" s="91"/>
      <c r="H496" s="91"/>
    </row>
    <row r="497" s="9" customFormat="1" ht="11.25">
      <c r="C497" s="11"/>
    </row>
    <row r="498" spans="1:9" s="9" customFormat="1" ht="11.25">
      <c r="A498" s="41" t="s">
        <v>768</v>
      </c>
      <c r="B498" s="41"/>
      <c r="C498" s="11" t="s">
        <v>771</v>
      </c>
      <c r="D498" s="42" t="str">
        <f>IF(Source!AE12&lt;&gt;"",Source!AE12," ")</f>
        <v> </v>
      </c>
      <c r="E498" s="42"/>
      <c r="F498" s="42"/>
      <c r="G498" s="42"/>
      <c r="H498" s="42"/>
      <c r="I498" s="9" t="str">
        <f>IF(Source!AD12&lt;&gt;"",Source!AD12," ")</f>
        <v> </v>
      </c>
    </row>
    <row r="499" spans="4:8" s="9" customFormat="1" ht="11.25">
      <c r="D499" s="91" t="s">
        <v>770</v>
      </c>
      <c r="E499" s="91"/>
      <c r="F499" s="91"/>
      <c r="G499" s="91"/>
      <c r="H499" s="91"/>
    </row>
  </sheetData>
  <sheetProtection/>
  <mergeCells count="329">
    <mergeCell ref="A2:C2"/>
    <mergeCell ref="A3:D3"/>
    <mergeCell ref="A4:C4"/>
    <mergeCell ref="H4:K4"/>
    <mergeCell ref="J475:K475"/>
    <mergeCell ref="G475:H475"/>
    <mergeCell ref="J466:K466"/>
    <mergeCell ref="G466:H466"/>
    <mergeCell ref="C492:I492"/>
    <mergeCell ref="J492:K492"/>
    <mergeCell ref="G477:H477"/>
    <mergeCell ref="J477:K477"/>
    <mergeCell ref="A477:F477"/>
    <mergeCell ref="G476:H476"/>
    <mergeCell ref="J476:K476"/>
    <mergeCell ref="A476:F476"/>
    <mergeCell ref="J407:K407"/>
    <mergeCell ref="G407:H407"/>
    <mergeCell ref="A401:L401"/>
    <mergeCell ref="G393:H393"/>
    <mergeCell ref="J393:K393"/>
    <mergeCell ref="A393:F393"/>
    <mergeCell ref="J425:K425"/>
    <mergeCell ref="G425:H425"/>
    <mergeCell ref="J413:K413"/>
    <mergeCell ref="G413:H413"/>
    <mergeCell ref="J328:K328"/>
    <mergeCell ref="G328:H328"/>
    <mergeCell ref="A355:L355"/>
    <mergeCell ref="G340:H340"/>
    <mergeCell ref="J340:K340"/>
    <mergeCell ref="A340:F340"/>
    <mergeCell ref="J427:K427"/>
    <mergeCell ref="A427:F427"/>
    <mergeCell ref="C439:I439"/>
    <mergeCell ref="J439:K439"/>
    <mergeCell ref="J419:K419"/>
    <mergeCell ref="G419:H419"/>
    <mergeCell ref="J361:K361"/>
    <mergeCell ref="G361:H361"/>
    <mergeCell ref="C349:I349"/>
    <mergeCell ref="J349:K349"/>
    <mergeCell ref="J459:K459"/>
    <mergeCell ref="G459:H459"/>
    <mergeCell ref="J451:K451"/>
    <mergeCell ref="G451:H451"/>
    <mergeCell ref="A445:L445"/>
    <mergeCell ref="G427:H427"/>
    <mergeCell ref="J385:K385"/>
    <mergeCell ref="G385:H385"/>
    <mergeCell ref="J379:K379"/>
    <mergeCell ref="G379:H379"/>
    <mergeCell ref="J338:K338"/>
    <mergeCell ref="G338:H338"/>
    <mergeCell ref="J373:K373"/>
    <mergeCell ref="G373:H373"/>
    <mergeCell ref="J367:K367"/>
    <mergeCell ref="G367:H367"/>
    <mergeCell ref="B272:K272"/>
    <mergeCell ref="J270:K270"/>
    <mergeCell ref="G270:H270"/>
    <mergeCell ref="J261:K261"/>
    <mergeCell ref="G261:H261"/>
    <mergeCell ref="J252:K252"/>
    <mergeCell ref="G303:H303"/>
    <mergeCell ref="J294:K294"/>
    <mergeCell ref="G294:H294"/>
    <mergeCell ref="B284:K284"/>
    <mergeCell ref="J282:K282"/>
    <mergeCell ref="G282:H282"/>
    <mergeCell ref="J170:K170"/>
    <mergeCell ref="G170:H170"/>
    <mergeCell ref="J318:K318"/>
    <mergeCell ref="G318:H318"/>
    <mergeCell ref="J316:K316"/>
    <mergeCell ref="G316:H316"/>
    <mergeCell ref="B307:K307"/>
    <mergeCell ref="J305:K305"/>
    <mergeCell ref="G305:H305"/>
    <mergeCell ref="J303:K303"/>
    <mergeCell ref="J203:K203"/>
    <mergeCell ref="G203:H203"/>
    <mergeCell ref="J192:K192"/>
    <mergeCell ref="G192:H192"/>
    <mergeCell ref="J180:K180"/>
    <mergeCell ref="G180:H180"/>
    <mergeCell ref="J96:K96"/>
    <mergeCell ref="G96:H96"/>
    <mergeCell ref="J88:K88"/>
    <mergeCell ref="G252:H252"/>
    <mergeCell ref="J242:K242"/>
    <mergeCell ref="G242:H242"/>
    <mergeCell ref="J232:K232"/>
    <mergeCell ref="G232:H232"/>
    <mergeCell ref="J230:K230"/>
    <mergeCell ref="G230:H230"/>
    <mergeCell ref="J120:K120"/>
    <mergeCell ref="G120:H120"/>
    <mergeCell ref="A111:L111"/>
    <mergeCell ref="G98:H98"/>
    <mergeCell ref="J98:K98"/>
    <mergeCell ref="A98:F98"/>
    <mergeCell ref="C109:I109"/>
    <mergeCell ref="J109:K109"/>
    <mergeCell ref="C110:I110"/>
    <mergeCell ref="J110:K110"/>
    <mergeCell ref="A27:L27"/>
    <mergeCell ref="B26:K26"/>
    <mergeCell ref="J160:K160"/>
    <mergeCell ref="G160:H160"/>
    <mergeCell ref="J152:K152"/>
    <mergeCell ref="G152:H152"/>
    <mergeCell ref="A146:L146"/>
    <mergeCell ref="G133:H133"/>
    <mergeCell ref="J133:K133"/>
    <mergeCell ref="A133:F133"/>
    <mergeCell ref="J39:K39"/>
    <mergeCell ref="G39:H39"/>
    <mergeCell ref="J36:K36"/>
    <mergeCell ref="G36:H36"/>
    <mergeCell ref="J33:K33"/>
    <mergeCell ref="G33:H33"/>
    <mergeCell ref="J57:K57"/>
    <mergeCell ref="G57:H57"/>
    <mergeCell ref="J51:K51"/>
    <mergeCell ref="G51:H51"/>
    <mergeCell ref="A42:L42"/>
    <mergeCell ref="G41:H41"/>
    <mergeCell ref="J41:K41"/>
    <mergeCell ref="A41:F41"/>
    <mergeCell ref="J75:K75"/>
    <mergeCell ref="G75:H75"/>
    <mergeCell ref="J66:K66"/>
    <mergeCell ref="G66:H66"/>
    <mergeCell ref="J63:K63"/>
    <mergeCell ref="G63:H63"/>
    <mergeCell ref="C490:I490"/>
    <mergeCell ref="J490:K490"/>
    <mergeCell ref="C491:I491"/>
    <mergeCell ref="J491:K491"/>
    <mergeCell ref="D496:H496"/>
    <mergeCell ref="D499:H499"/>
    <mergeCell ref="C487:I487"/>
    <mergeCell ref="J487:K487"/>
    <mergeCell ref="C488:I488"/>
    <mergeCell ref="J488:K488"/>
    <mergeCell ref="C489:I489"/>
    <mergeCell ref="J489:K489"/>
    <mergeCell ref="C484:I484"/>
    <mergeCell ref="J484:K484"/>
    <mergeCell ref="C485:I485"/>
    <mergeCell ref="J485:K485"/>
    <mergeCell ref="C486:I486"/>
    <mergeCell ref="J486:K486"/>
    <mergeCell ref="C482:I482"/>
    <mergeCell ref="J482:K482"/>
    <mergeCell ref="C483:I483"/>
    <mergeCell ref="J483:K483"/>
    <mergeCell ref="C480:I480"/>
    <mergeCell ref="J480:K480"/>
    <mergeCell ref="C481:I481"/>
    <mergeCell ref="J481:K481"/>
    <mergeCell ref="C478:I478"/>
    <mergeCell ref="J478:K478"/>
    <mergeCell ref="C479:I479"/>
    <mergeCell ref="J479:K479"/>
    <mergeCell ref="C442:I442"/>
    <mergeCell ref="J442:K442"/>
    <mergeCell ref="C443:I443"/>
    <mergeCell ref="J443:K443"/>
    <mergeCell ref="C444:I444"/>
    <mergeCell ref="J444:K444"/>
    <mergeCell ref="C440:I440"/>
    <mergeCell ref="J440:K440"/>
    <mergeCell ref="C441:I441"/>
    <mergeCell ref="J441:K441"/>
    <mergeCell ref="C436:I436"/>
    <mergeCell ref="J436:K436"/>
    <mergeCell ref="C437:I437"/>
    <mergeCell ref="J437:K437"/>
    <mergeCell ref="C438:I438"/>
    <mergeCell ref="J438:K438"/>
    <mergeCell ref="C433:I433"/>
    <mergeCell ref="J433:K433"/>
    <mergeCell ref="C434:I434"/>
    <mergeCell ref="J434:K434"/>
    <mergeCell ref="C435:I435"/>
    <mergeCell ref="J435:K435"/>
    <mergeCell ref="C430:I430"/>
    <mergeCell ref="J430:K430"/>
    <mergeCell ref="C431:I431"/>
    <mergeCell ref="J431:K431"/>
    <mergeCell ref="C432:I432"/>
    <mergeCell ref="J432:K432"/>
    <mergeCell ref="C398:I398"/>
    <mergeCell ref="J398:K398"/>
    <mergeCell ref="C399:I399"/>
    <mergeCell ref="J399:K399"/>
    <mergeCell ref="C400:I400"/>
    <mergeCell ref="J400:K400"/>
    <mergeCell ref="C396:I396"/>
    <mergeCell ref="J396:K396"/>
    <mergeCell ref="C397:I397"/>
    <mergeCell ref="J397:K397"/>
    <mergeCell ref="C395:I395"/>
    <mergeCell ref="J395:K395"/>
    <mergeCell ref="C394:I394"/>
    <mergeCell ref="J394:K394"/>
    <mergeCell ref="C351:I351"/>
    <mergeCell ref="J351:K351"/>
    <mergeCell ref="C352:I352"/>
    <mergeCell ref="J352:K352"/>
    <mergeCell ref="C353:I353"/>
    <mergeCell ref="J353:K353"/>
    <mergeCell ref="J391:K391"/>
    <mergeCell ref="G391:H391"/>
    <mergeCell ref="C350:I350"/>
    <mergeCell ref="J350:K350"/>
    <mergeCell ref="C346:I346"/>
    <mergeCell ref="J346:K346"/>
    <mergeCell ref="C347:I347"/>
    <mergeCell ref="J347:K347"/>
    <mergeCell ref="C348:I348"/>
    <mergeCell ref="J348:K348"/>
    <mergeCell ref="C343:I343"/>
    <mergeCell ref="J343:K343"/>
    <mergeCell ref="C344:I344"/>
    <mergeCell ref="J344:K344"/>
    <mergeCell ref="C345:I345"/>
    <mergeCell ref="J345:K345"/>
    <mergeCell ref="C145:I145"/>
    <mergeCell ref="J145:K145"/>
    <mergeCell ref="C341:I341"/>
    <mergeCell ref="J341:K341"/>
    <mergeCell ref="C342:I342"/>
    <mergeCell ref="J342:K342"/>
    <mergeCell ref="J221:K221"/>
    <mergeCell ref="G221:H221"/>
    <mergeCell ref="J213:K213"/>
    <mergeCell ref="G213:H213"/>
    <mergeCell ref="C142:I142"/>
    <mergeCell ref="J142:K142"/>
    <mergeCell ref="C143:I143"/>
    <mergeCell ref="J143:K143"/>
    <mergeCell ref="C144:I144"/>
    <mergeCell ref="J144:K144"/>
    <mergeCell ref="C141:I141"/>
    <mergeCell ref="J141:K141"/>
    <mergeCell ref="C138:I138"/>
    <mergeCell ref="J138:K138"/>
    <mergeCell ref="C139:I139"/>
    <mergeCell ref="J139:K139"/>
    <mergeCell ref="C140:I140"/>
    <mergeCell ref="J140:K140"/>
    <mergeCell ref="C135:I135"/>
    <mergeCell ref="J135:K135"/>
    <mergeCell ref="C136:I136"/>
    <mergeCell ref="J136:K136"/>
    <mergeCell ref="C137:I137"/>
    <mergeCell ref="J137:K137"/>
    <mergeCell ref="C134:I134"/>
    <mergeCell ref="J134:K134"/>
    <mergeCell ref="J132:K132"/>
    <mergeCell ref="G132:H132"/>
    <mergeCell ref="J122:K122"/>
    <mergeCell ref="G122:H122"/>
    <mergeCell ref="C106:I106"/>
    <mergeCell ref="J106:K106"/>
    <mergeCell ref="C107:I107"/>
    <mergeCell ref="J107:K107"/>
    <mergeCell ref="C108:I108"/>
    <mergeCell ref="J108:K108"/>
    <mergeCell ref="C105:I105"/>
    <mergeCell ref="J105:K105"/>
    <mergeCell ref="C102:I102"/>
    <mergeCell ref="J102:K102"/>
    <mergeCell ref="C103:I103"/>
    <mergeCell ref="J103:K103"/>
    <mergeCell ref="C104:I104"/>
    <mergeCell ref="J104:K104"/>
    <mergeCell ref="C100:I100"/>
    <mergeCell ref="J100:K100"/>
    <mergeCell ref="C101:I101"/>
    <mergeCell ref="J101:K101"/>
    <mergeCell ref="C22:F22"/>
    <mergeCell ref="G22:H22"/>
    <mergeCell ref="I22:J22"/>
    <mergeCell ref="K22:L22"/>
    <mergeCell ref="A23:L23"/>
    <mergeCell ref="C99:I99"/>
    <mergeCell ref="J99:K99"/>
    <mergeCell ref="G88:H88"/>
    <mergeCell ref="J81:K81"/>
    <mergeCell ref="G81:H81"/>
    <mergeCell ref="C20:F20"/>
    <mergeCell ref="G20:H20"/>
    <mergeCell ref="I20:J20"/>
    <mergeCell ref="K20:L20"/>
    <mergeCell ref="C21:F21"/>
    <mergeCell ref="G21:H21"/>
    <mergeCell ref="I21:J21"/>
    <mergeCell ref="K21:L21"/>
    <mergeCell ref="C18:F18"/>
    <mergeCell ref="G18:H18"/>
    <mergeCell ref="I18:J18"/>
    <mergeCell ref="K18:L18"/>
    <mergeCell ref="C19:F19"/>
    <mergeCell ref="G19:H19"/>
    <mergeCell ref="I19:J19"/>
    <mergeCell ref="K19:L19"/>
    <mergeCell ref="C16:F16"/>
    <mergeCell ref="G16:H16"/>
    <mergeCell ref="I16:J16"/>
    <mergeCell ref="K16:L16"/>
    <mergeCell ref="C17:F17"/>
    <mergeCell ref="G17:H17"/>
    <mergeCell ref="I17:J17"/>
    <mergeCell ref="K17:L17"/>
    <mergeCell ref="B8:K8"/>
    <mergeCell ref="B9:K9"/>
    <mergeCell ref="B11:K11"/>
    <mergeCell ref="B12:K12"/>
    <mergeCell ref="A13:L13"/>
    <mergeCell ref="G15:H15"/>
    <mergeCell ref="I15:J15"/>
    <mergeCell ref="B5:E5"/>
    <mergeCell ref="H5:L5"/>
    <mergeCell ref="B6:K6"/>
    <mergeCell ref="B7:K7"/>
  </mergeCells>
  <printOptions/>
  <pageMargins left="0.25" right="0.25" top="0.75" bottom="0.75" header="0.3" footer="0.3"/>
  <pageSetup fitToHeight="0" horizontalDpi="600" verticalDpi="600" orientation="landscape" paperSize="9" scale="95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433"/>
  <sheetViews>
    <sheetView zoomScalePageLayoutView="0" workbookViewId="0" topLeftCell="A290">
      <selection activeCell="L301" sqref="L30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0</v>
      </c>
      <c r="L1">
        <v>32116</v>
      </c>
      <c r="M1">
        <v>10</v>
      </c>
    </row>
    <row r="9" spans="1:31" ht="12.75">
      <c r="A9" s="1">
        <v>4</v>
      </c>
      <c r="B9" s="1">
        <v>1</v>
      </c>
      <c r="C9" s="1">
        <v>-1</v>
      </c>
      <c r="D9" s="1"/>
      <c r="E9" s="1"/>
      <c r="F9" s="1" t="s">
        <v>4</v>
      </c>
      <c r="G9" s="1" t="s">
        <v>4</v>
      </c>
      <c r="H9" s="1" t="s">
        <v>3</v>
      </c>
      <c r="I9" s="1" t="s">
        <v>3</v>
      </c>
      <c r="J9" s="1" t="s">
        <v>3</v>
      </c>
      <c r="K9" s="1" t="s">
        <v>3</v>
      </c>
      <c r="L9" s="1" t="s">
        <v>3</v>
      </c>
      <c r="M9" s="1" t="s">
        <v>3</v>
      </c>
      <c r="N9" s="1" t="s">
        <v>3</v>
      </c>
      <c r="O9" s="1" t="s">
        <v>3</v>
      </c>
      <c r="P9" s="1">
        <v>0</v>
      </c>
      <c r="Q9" s="1" t="s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>
        <v>0</v>
      </c>
    </row>
    <row r="12" spans="1:133" ht="12.75">
      <c r="A12" s="1">
        <v>1</v>
      </c>
      <c r="B12" s="1">
        <v>424</v>
      </c>
      <c r="C12" s="1">
        <v>0</v>
      </c>
      <c r="D12" s="1">
        <f>ROW(A364)</f>
        <v>364</v>
      </c>
      <c r="E12" s="1">
        <v>0</v>
      </c>
      <c r="F12" s="1" t="s">
        <v>5</v>
      </c>
      <c r="G12" s="1" t="s">
        <v>6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7</v>
      </c>
      <c r="AI12" s="1" t="s">
        <v>8</v>
      </c>
      <c r="AJ12" s="1" t="s">
        <v>9</v>
      </c>
      <c r="AK12" s="1"/>
      <c r="AL12" s="1" t="s">
        <v>10</v>
      </c>
      <c r="AM12" s="1" t="s">
        <v>11</v>
      </c>
      <c r="AN12" s="1" t="s">
        <v>12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1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15</v>
      </c>
      <c r="CB12" s="1" t="s">
        <v>15</v>
      </c>
      <c r="CC12" s="1" t="s">
        <v>15</v>
      </c>
      <c r="CD12" s="1" t="s">
        <v>15</v>
      </c>
      <c r="CE12" s="1" t="s">
        <v>17</v>
      </c>
      <c r="CF12" s="1">
        <v>0</v>
      </c>
      <c r="CG12" s="1">
        <v>0</v>
      </c>
      <c r="CH12" s="1">
        <v>262152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ht="12.75">
      <c r="A18" s="2">
        <v>52</v>
      </c>
      <c r="B18" s="2">
        <f aca="true" t="shared" si="0" ref="B18:G18">B364</f>
        <v>424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13</v>
      </c>
      <c r="G18" s="2" t="str">
        <f t="shared" si="0"/>
        <v>Электроснабжение ООО "Клиника №1"  на земельном участке с кадастровым номером 40:27: 030101:47. Трансформаторная подстанция. Калужская обл. г. Обнинск, пр. Ленина, д.74В</v>
      </c>
      <c r="H18" s="2"/>
      <c r="I18" s="2"/>
      <c r="J18" s="2"/>
      <c r="K18" s="2"/>
      <c r="L18" s="2"/>
      <c r="M18" s="2"/>
      <c r="N18" s="2"/>
      <c r="O18" s="2">
        <f aca="true" t="shared" si="1" ref="O18:AT18">O364</f>
        <v>2886833.3</v>
      </c>
      <c r="P18" s="2">
        <f t="shared" si="1"/>
        <v>2662847.4</v>
      </c>
      <c r="Q18" s="2">
        <f t="shared" si="1"/>
        <v>60134.6</v>
      </c>
      <c r="R18" s="2">
        <f t="shared" si="1"/>
        <v>15306.7</v>
      </c>
      <c r="S18" s="2">
        <f t="shared" si="1"/>
        <v>163851.3</v>
      </c>
      <c r="T18" s="2">
        <f t="shared" si="1"/>
        <v>0</v>
      </c>
      <c r="U18" s="2">
        <f t="shared" si="1"/>
        <v>803.6263416</v>
      </c>
      <c r="V18" s="2">
        <f t="shared" si="1"/>
        <v>60.318768399999996</v>
      </c>
      <c r="W18" s="2">
        <f t="shared" si="1"/>
        <v>0</v>
      </c>
      <c r="X18" s="2">
        <f t="shared" si="1"/>
        <v>138539.9</v>
      </c>
      <c r="Y18" s="2">
        <f t="shared" si="1"/>
        <v>81740.7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2444501.7</v>
      </c>
      <c r="AQ18" s="2">
        <f t="shared" si="1"/>
        <v>0</v>
      </c>
      <c r="AR18" s="2">
        <f t="shared" si="1"/>
        <v>3107113.9</v>
      </c>
      <c r="AS18" s="2">
        <f t="shared" si="1"/>
        <v>450937.2</v>
      </c>
      <c r="AT18" s="2">
        <f t="shared" si="1"/>
        <v>77366.7</v>
      </c>
      <c r="AU18" s="2">
        <f aca="true" t="shared" si="2" ref="AU18:BZ18">AU364</f>
        <v>134308.3</v>
      </c>
      <c r="AV18" s="2">
        <f t="shared" si="2"/>
        <v>2662847.4</v>
      </c>
      <c r="AW18" s="2">
        <f t="shared" si="2"/>
        <v>218345.7</v>
      </c>
      <c r="AX18" s="2">
        <f t="shared" si="2"/>
        <v>0</v>
      </c>
      <c r="AY18" s="2">
        <f t="shared" si="2"/>
        <v>218345.7</v>
      </c>
      <c r="AZ18" s="2">
        <f t="shared" si="2"/>
        <v>2444501.7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aca="true" t="shared" si="3" ref="CA18:DF18">CA364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aca="true" t="shared" si="4" ref="DG18:EL18">DG364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aca="true" t="shared" si="5" ref="EM18:FR18">EM364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aca="true" t="shared" si="6" ref="FS18:GX18">FS364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88" ht="12.75">
      <c r="A20" s="1">
        <v>3</v>
      </c>
      <c r="B20" s="1">
        <v>1</v>
      </c>
      <c r="C20" s="1"/>
      <c r="D20" s="1">
        <f>ROW(A335)</f>
        <v>335</v>
      </c>
      <c r="E20" s="1"/>
      <c r="F20" s="1" t="s">
        <v>18</v>
      </c>
      <c r="G20" s="1" t="s">
        <v>18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06" ht="12.75">
      <c r="A22" s="2">
        <v>52</v>
      </c>
      <c r="B22" s="2">
        <f aca="true" t="shared" si="7" ref="B22:G22">B335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aca="true" t="shared" si="8" ref="O22:AT22">O335</f>
        <v>2886833.3</v>
      </c>
      <c r="P22" s="2">
        <f t="shared" si="8"/>
        <v>2662847.4</v>
      </c>
      <c r="Q22" s="2">
        <f t="shared" si="8"/>
        <v>60134.6</v>
      </c>
      <c r="R22" s="2">
        <f t="shared" si="8"/>
        <v>15306.7</v>
      </c>
      <c r="S22" s="2">
        <f t="shared" si="8"/>
        <v>163851.3</v>
      </c>
      <c r="T22" s="2">
        <f t="shared" si="8"/>
        <v>0</v>
      </c>
      <c r="U22" s="2">
        <f t="shared" si="8"/>
        <v>803.6263416</v>
      </c>
      <c r="V22" s="2">
        <f t="shared" si="8"/>
        <v>60.318768399999996</v>
      </c>
      <c r="W22" s="2">
        <f t="shared" si="8"/>
        <v>0</v>
      </c>
      <c r="X22" s="2">
        <f t="shared" si="8"/>
        <v>138539.9</v>
      </c>
      <c r="Y22" s="2">
        <f t="shared" si="8"/>
        <v>81740.7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2444501.7</v>
      </c>
      <c r="AQ22" s="2">
        <f t="shared" si="8"/>
        <v>0</v>
      </c>
      <c r="AR22" s="2">
        <f t="shared" si="8"/>
        <v>3107113.9</v>
      </c>
      <c r="AS22" s="2">
        <f t="shared" si="8"/>
        <v>450937.2</v>
      </c>
      <c r="AT22" s="2">
        <f t="shared" si="8"/>
        <v>77366.7</v>
      </c>
      <c r="AU22" s="2">
        <f aca="true" t="shared" si="9" ref="AU22:BZ22">AU335</f>
        <v>134308.3</v>
      </c>
      <c r="AV22" s="2">
        <f t="shared" si="9"/>
        <v>2662847.4</v>
      </c>
      <c r="AW22" s="2">
        <f t="shared" si="9"/>
        <v>218345.7</v>
      </c>
      <c r="AX22" s="2">
        <f t="shared" si="9"/>
        <v>0</v>
      </c>
      <c r="AY22" s="2">
        <f t="shared" si="9"/>
        <v>218345.7</v>
      </c>
      <c r="AZ22" s="2">
        <f t="shared" si="9"/>
        <v>2444501.7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aca="true" t="shared" si="10" ref="CA22:DF22">CA335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aca="true" t="shared" si="11" ref="DG22:EL22">DG335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aca="true" t="shared" si="12" ref="EM22:FR22">EM335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aca="true" t="shared" si="13" ref="FS22:GX22">FS335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ht="12.75">
      <c r="A24">
        <v>19</v>
      </c>
      <c r="B24">
        <v>1</v>
      </c>
      <c r="G24" t="s">
        <v>19</v>
      </c>
      <c r="AA24">
        <v>1</v>
      </c>
      <c r="IK24">
        <v>0</v>
      </c>
    </row>
    <row r="26" spans="1:88" ht="12.75">
      <c r="A26" s="1">
        <v>4</v>
      </c>
      <c r="B26" s="1">
        <v>1</v>
      </c>
      <c r="C26" s="1"/>
      <c r="D26" s="1">
        <f>ROW(A34)</f>
        <v>34</v>
      </c>
      <c r="E26" s="1"/>
      <c r="F26" s="1" t="s">
        <v>20</v>
      </c>
      <c r="G26" s="1" t="s">
        <v>21</v>
      </c>
      <c r="H26" s="1" t="s">
        <v>3</v>
      </c>
      <c r="I26" s="1">
        <v>0</v>
      </c>
      <c r="J26" s="1"/>
      <c r="K26" s="1">
        <v>-1</v>
      </c>
      <c r="L26" s="1"/>
      <c r="M26" s="1"/>
      <c r="N26" s="1"/>
      <c r="O26" s="1"/>
      <c r="P26" s="1"/>
      <c r="Q26" s="1"/>
      <c r="R26" s="1"/>
      <c r="S26" s="1"/>
      <c r="T26" s="1"/>
      <c r="U26" s="1" t="s">
        <v>3</v>
      </c>
      <c r="V26" s="1">
        <v>0</v>
      </c>
      <c r="W26" s="1"/>
      <c r="X26" s="1"/>
      <c r="Y26" s="1"/>
      <c r="Z26" s="1"/>
      <c r="AA26" s="1"/>
      <c r="AB26" s="1" t="s">
        <v>3</v>
      </c>
      <c r="AC26" s="1" t="s">
        <v>3</v>
      </c>
      <c r="AD26" s="1" t="s">
        <v>3</v>
      </c>
      <c r="AE26" s="1" t="s">
        <v>3</v>
      </c>
      <c r="AF26" s="1" t="s">
        <v>3</v>
      </c>
      <c r="AG26" s="1" t="s">
        <v>3</v>
      </c>
      <c r="AH26" s="1"/>
      <c r="AI26" s="1"/>
      <c r="AJ26" s="1"/>
      <c r="AK26" s="1"/>
      <c r="AL26" s="1"/>
      <c r="AM26" s="1"/>
      <c r="AN26" s="1"/>
      <c r="AO26" s="1"/>
      <c r="AP26" s="1" t="s">
        <v>3</v>
      </c>
      <c r="AQ26" s="1" t="s">
        <v>3</v>
      </c>
      <c r="AR26" s="1" t="s">
        <v>3</v>
      </c>
      <c r="AS26" s="1"/>
      <c r="AT26" s="1"/>
      <c r="AU26" s="1"/>
      <c r="AV26" s="1"/>
      <c r="AW26" s="1"/>
      <c r="AX26" s="1"/>
      <c r="AY26" s="1"/>
      <c r="AZ26" s="1" t="s">
        <v>3</v>
      </c>
      <c r="BA26" s="1"/>
      <c r="BB26" s="1" t="s">
        <v>3</v>
      </c>
      <c r="BC26" s="1" t="s">
        <v>3</v>
      </c>
      <c r="BD26" s="1" t="s">
        <v>3</v>
      </c>
      <c r="BE26" s="1" t="s">
        <v>3</v>
      </c>
      <c r="BF26" s="1" t="s">
        <v>3</v>
      </c>
      <c r="BG26" s="1" t="s">
        <v>3</v>
      </c>
      <c r="BH26" s="1" t="s">
        <v>3</v>
      </c>
      <c r="BI26" s="1" t="s">
        <v>3</v>
      </c>
      <c r="BJ26" s="1" t="s">
        <v>3</v>
      </c>
      <c r="BK26" s="1" t="s">
        <v>3</v>
      </c>
      <c r="BL26" s="1" t="s">
        <v>3</v>
      </c>
      <c r="BM26" s="1" t="s">
        <v>3</v>
      </c>
      <c r="BN26" s="1" t="s">
        <v>3</v>
      </c>
      <c r="BO26" s="1" t="s">
        <v>3</v>
      </c>
      <c r="BP26" s="1" t="s">
        <v>3</v>
      </c>
      <c r="BQ26" s="1"/>
      <c r="BR26" s="1"/>
      <c r="BS26" s="1"/>
      <c r="BT26" s="1"/>
      <c r="BU26" s="1"/>
      <c r="BV26" s="1"/>
      <c r="BW26" s="1"/>
      <c r="BX26" s="1">
        <v>0</v>
      </c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>
        <v>0</v>
      </c>
    </row>
    <row r="28" spans="1:206" ht="12.75">
      <c r="A28" s="2">
        <v>52</v>
      </c>
      <c r="B28" s="2">
        <f aca="true" t="shared" si="14" ref="B28:G28">B34</f>
        <v>1</v>
      </c>
      <c r="C28" s="2">
        <f t="shared" si="14"/>
        <v>4</v>
      </c>
      <c r="D28" s="2">
        <f t="shared" si="14"/>
        <v>26</v>
      </c>
      <c r="E28" s="2">
        <f t="shared" si="14"/>
        <v>0</v>
      </c>
      <c r="F28" s="2" t="str">
        <f t="shared" si="14"/>
        <v>Новый раздел</v>
      </c>
      <c r="G28" s="2" t="str">
        <f t="shared" si="14"/>
        <v>Вырубка кустарников-10м3</v>
      </c>
      <c r="H28" s="2"/>
      <c r="I28" s="2"/>
      <c r="J28" s="2"/>
      <c r="K28" s="2"/>
      <c r="L28" s="2"/>
      <c r="M28" s="2"/>
      <c r="N28" s="2"/>
      <c r="O28" s="2">
        <f aca="true" t="shared" si="15" ref="O28:AT28">O34</f>
        <v>3005.2</v>
      </c>
      <c r="P28" s="2">
        <f t="shared" si="15"/>
        <v>0</v>
      </c>
      <c r="Q28" s="2">
        <f t="shared" si="15"/>
        <v>519.8</v>
      </c>
      <c r="R28" s="2">
        <f t="shared" si="15"/>
        <v>0</v>
      </c>
      <c r="S28" s="2">
        <f t="shared" si="15"/>
        <v>2485.4</v>
      </c>
      <c r="T28" s="2">
        <f t="shared" si="15"/>
        <v>0</v>
      </c>
      <c r="U28" s="2">
        <f t="shared" si="15"/>
        <v>4.6514999999999995</v>
      </c>
      <c r="V28" s="2">
        <f t="shared" si="15"/>
        <v>0</v>
      </c>
      <c r="W28" s="2">
        <f t="shared" si="15"/>
        <v>0</v>
      </c>
      <c r="X28" s="2">
        <f t="shared" si="15"/>
        <v>538.6</v>
      </c>
      <c r="Y28" s="2">
        <f t="shared" si="15"/>
        <v>285.1</v>
      </c>
      <c r="Z28" s="2">
        <f t="shared" si="15"/>
        <v>0</v>
      </c>
      <c r="AA28" s="2">
        <f t="shared" si="15"/>
        <v>0</v>
      </c>
      <c r="AB28" s="2">
        <f t="shared" si="15"/>
        <v>3005.2</v>
      </c>
      <c r="AC28" s="2">
        <f t="shared" si="15"/>
        <v>0</v>
      </c>
      <c r="AD28" s="2">
        <f t="shared" si="15"/>
        <v>519.8</v>
      </c>
      <c r="AE28" s="2">
        <f t="shared" si="15"/>
        <v>0</v>
      </c>
      <c r="AF28" s="2">
        <f t="shared" si="15"/>
        <v>2485.4</v>
      </c>
      <c r="AG28" s="2">
        <f t="shared" si="15"/>
        <v>0</v>
      </c>
      <c r="AH28" s="2">
        <f t="shared" si="15"/>
        <v>4.6514999999999995</v>
      </c>
      <c r="AI28" s="2">
        <f t="shared" si="15"/>
        <v>0</v>
      </c>
      <c r="AJ28" s="2">
        <f t="shared" si="15"/>
        <v>0</v>
      </c>
      <c r="AK28" s="2">
        <f t="shared" si="15"/>
        <v>538.6</v>
      </c>
      <c r="AL28" s="2">
        <f t="shared" si="15"/>
        <v>285.1</v>
      </c>
      <c r="AM28" s="2">
        <f t="shared" si="15"/>
        <v>0</v>
      </c>
      <c r="AN28" s="2">
        <f t="shared" si="15"/>
        <v>0</v>
      </c>
      <c r="AO28" s="2">
        <f t="shared" si="15"/>
        <v>0</v>
      </c>
      <c r="AP28" s="2">
        <f t="shared" si="15"/>
        <v>0</v>
      </c>
      <c r="AQ28" s="2">
        <f t="shared" si="15"/>
        <v>0</v>
      </c>
      <c r="AR28" s="2">
        <f t="shared" si="15"/>
        <v>3828.9</v>
      </c>
      <c r="AS28" s="2">
        <f t="shared" si="15"/>
        <v>3828.9</v>
      </c>
      <c r="AT28" s="2">
        <f t="shared" si="15"/>
        <v>0</v>
      </c>
      <c r="AU28" s="2">
        <f aca="true" t="shared" si="16" ref="AU28:BZ28">AU34</f>
        <v>0</v>
      </c>
      <c r="AV28" s="2">
        <f t="shared" si="16"/>
        <v>0</v>
      </c>
      <c r="AW28" s="2">
        <f t="shared" si="16"/>
        <v>0</v>
      </c>
      <c r="AX28" s="2">
        <f t="shared" si="16"/>
        <v>0</v>
      </c>
      <c r="AY28" s="2">
        <f t="shared" si="16"/>
        <v>0</v>
      </c>
      <c r="AZ28" s="2">
        <f t="shared" si="16"/>
        <v>0</v>
      </c>
      <c r="BA28" s="2">
        <f t="shared" si="16"/>
        <v>0</v>
      </c>
      <c r="BB28" s="2">
        <f t="shared" si="16"/>
        <v>0</v>
      </c>
      <c r="BC28" s="2">
        <f t="shared" si="16"/>
        <v>0</v>
      </c>
      <c r="BD28" s="2">
        <f t="shared" si="16"/>
        <v>0</v>
      </c>
      <c r="BE28" s="2">
        <f t="shared" si="16"/>
        <v>0</v>
      </c>
      <c r="BF28" s="2">
        <f t="shared" si="16"/>
        <v>0</v>
      </c>
      <c r="BG28" s="2">
        <f t="shared" si="16"/>
        <v>0</v>
      </c>
      <c r="BH28" s="2">
        <f t="shared" si="16"/>
        <v>0</v>
      </c>
      <c r="BI28" s="2">
        <f t="shared" si="16"/>
        <v>0</v>
      </c>
      <c r="BJ28" s="2">
        <f t="shared" si="16"/>
        <v>0</v>
      </c>
      <c r="BK28" s="2">
        <f t="shared" si="16"/>
        <v>0</v>
      </c>
      <c r="BL28" s="2">
        <f t="shared" si="16"/>
        <v>0</v>
      </c>
      <c r="BM28" s="2">
        <f t="shared" si="16"/>
        <v>0</v>
      </c>
      <c r="BN28" s="2">
        <f t="shared" si="16"/>
        <v>0</v>
      </c>
      <c r="BO28" s="2">
        <f t="shared" si="16"/>
        <v>0</v>
      </c>
      <c r="BP28" s="2">
        <f t="shared" si="16"/>
        <v>0</v>
      </c>
      <c r="BQ28" s="2">
        <f t="shared" si="16"/>
        <v>0</v>
      </c>
      <c r="BR28" s="2">
        <f t="shared" si="16"/>
        <v>0</v>
      </c>
      <c r="BS28" s="2">
        <f t="shared" si="16"/>
        <v>0</v>
      </c>
      <c r="BT28" s="2">
        <f t="shared" si="16"/>
        <v>0</v>
      </c>
      <c r="BU28" s="2">
        <f t="shared" si="16"/>
        <v>0</v>
      </c>
      <c r="BV28" s="2">
        <f t="shared" si="16"/>
        <v>0</v>
      </c>
      <c r="BW28" s="2">
        <f t="shared" si="16"/>
        <v>0</v>
      </c>
      <c r="BX28" s="2">
        <f t="shared" si="16"/>
        <v>0</v>
      </c>
      <c r="BY28" s="2">
        <f t="shared" si="16"/>
        <v>0</v>
      </c>
      <c r="BZ28" s="2">
        <f t="shared" si="16"/>
        <v>0</v>
      </c>
      <c r="CA28" s="2">
        <f aca="true" t="shared" si="17" ref="CA28:DF28">CA34</f>
        <v>3828.9</v>
      </c>
      <c r="CB28" s="2">
        <f t="shared" si="17"/>
        <v>3828.9</v>
      </c>
      <c r="CC28" s="2">
        <f t="shared" si="17"/>
        <v>0</v>
      </c>
      <c r="CD28" s="2">
        <f t="shared" si="17"/>
        <v>0</v>
      </c>
      <c r="CE28" s="2">
        <f t="shared" si="17"/>
        <v>0</v>
      </c>
      <c r="CF28" s="2">
        <f t="shared" si="17"/>
        <v>0</v>
      </c>
      <c r="CG28" s="2">
        <f t="shared" si="17"/>
        <v>0</v>
      </c>
      <c r="CH28" s="2">
        <f t="shared" si="17"/>
        <v>0</v>
      </c>
      <c r="CI28" s="2">
        <f t="shared" si="17"/>
        <v>0</v>
      </c>
      <c r="CJ28" s="2">
        <f t="shared" si="17"/>
        <v>0</v>
      </c>
      <c r="CK28" s="2">
        <f t="shared" si="17"/>
        <v>0</v>
      </c>
      <c r="CL28" s="2">
        <f t="shared" si="17"/>
        <v>0</v>
      </c>
      <c r="CM28" s="2">
        <f t="shared" si="17"/>
        <v>0</v>
      </c>
      <c r="CN28" s="2">
        <f t="shared" si="17"/>
        <v>0</v>
      </c>
      <c r="CO28" s="2">
        <f t="shared" si="17"/>
        <v>0</v>
      </c>
      <c r="CP28" s="2">
        <f t="shared" si="17"/>
        <v>0</v>
      </c>
      <c r="CQ28" s="2">
        <f t="shared" si="17"/>
        <v>0</v>
      </c>
      <c r="CR28" s="2">
        <f t="shared" si="17"/>
        <v>0</v>
      </c>
      <c r="CS28" s="2">
        <f t="shared" si="17"/>
        <v>0</v>
      </c>
      <c r="CT28" s="2">
        <f t="shared" si="17"/>
        <v>0</v>
      </c>
      <c r="CU28" s="2">
        <f t="shared" si="17"/>
        <v>0</v>
      </c>
      <c r="CV28" s="2">
        <f t="shared" si="17"/>
        <v>0</v>
      </c>
      <c r="CW28" s="2">
        <f t="shared" si="17"/>
        <v>0</v>
      </c>
      <c r="CX28" s="2">
        <f t="shared" si="17"/>
        <v>0</v>
      </c>
      <c r="CY28" s="2">
        <f t="shared" si="17"/>
        <v>0</v>
      </c>
      <c r="CZ28" s="2">
        <f t="shared" si="17"/>
        <v>0</v>
      </c>
      <c r="DA28" s="2">
        <f t="shared" si="17"/>
        <v>0</v>
      </c>
      <c r="DB28" s="2">
        <f t="shared" si="17"/>
        <v>0</v>
      </c>
      <c r="DC28" s="2">
        <f t="shared" si="17"/>
        <v>0</v>
      </c>
      <c r="DD28" s="2">
        <f t="shared" si="17"/>
        <v>0</v>
      </c>
      <c r="DE28" s="2">
        <f t="shared" si="17"/>
        <v>0</v>
      </c>
      <c r="DF28" s="2">
        <f t="shared" si="17"/>
        <v>0</v>
      </c>
      <c r="DG28" s="3">
        <f aca="true" t="shared" si="18" ref="DG28:EL28">DG34</f>
        <v>0</v>
      </c>
      <c r="DH28" s="3">
        <f t="shared" si="18"/>
        <v>0</v>
      </c>
      <c r="DI28" s="3">
        <f t="shared" si="18"/>
        <v>0</v>
      </c>
      <c r="DJ28" s="3">
        <f t="shared" si="18"/>
        <v>0</v>
      </c>
      <c r="DK28" s="3">
        <f t="shared" si="18"/>
        <v>0</v>
      </c>
      <c r="DL28" s="3">
        <f t="shared" si="18"/>
        <v>0</v>
      </c>
      <c r="DM28" s="3">
        <f t="shared" si="18"/>
        <v>0</v>
      </c>
      <c r="DN28" s="3">
        <f t="shared" si="18"/>
        <v>0</v>
      </c>
      <c r="DO28" s="3">
        <f t="shared" si="18"/>
        <v>0</v>
      </c>
      <c r="DP28" s="3">
        <f t="shared" si="18"/>
        <v>0</v>
      </c>
      <c r="DQ28" s="3">
        <f t="shared" si="18"/>
        <v>0</v>
      </c>
      <c r="DR28" s="3">
        <f t="shared" si="18"/>
        <v>0</v>
      </c>
      <c r="DS28" s="3">
        <f t="shared" si="18"/>
        <v>0</v>
      </c>
      <c r="DT28" s="3">
        <f t="shared" si="18"/>
        <v>0</v>
      </c>
      <c r="DU28" s="3">
        <f t="shared" si="18"/>
        <v>0</v>
      </c>
      <c r="DV28" s="3">
        <f t="shared" si="18"/>
        <v>0</v>
      </c>
      <c r="DW28" s="3">
        <f t="shared" si="18"/>
        <v>0</v>
      </c>
      <c r="DX28" s="3">
        <f t="shared" si="18"/>
        <v>0</v>
      </c>
      <c r="DY28" s="3">
        <f t="shared" si="18"/>
        <v>0</v>
      </c>
      <c r="DZ28" s="3">
        <f t="shared" si="18"/>
        <v>0</v>
      </c>
      <c r="EA28" s="3">
        <f t="shared" si="18"/>
        <v>0</v>
      </c>
      <c r="EB28" s="3">
        <f t="shared" si="18"/>
        <v>0</v>
      </c>
      <c r="EC28" s="3">
        <f t="shared" si="18"/>
        <v>0</v>
      </c>
      <c r="ED28" s="3">
        <f t="shared" si="18"/>
        <v>0</v>
      </c>
      <c r="EE28" s="3">
        <f t="shared" si="18"/>
        <v>0</v>
      </c>
      <c r="EF28" s="3">
        <f t="shared" si="18"/>
        <v>0</v>
      </c>
      <c r="EG28" s="3">
        <f t="shared" si="18"/>
        <v>0</v>
      </c>
      <c r="EH28" s="3">
        <f t="shared" si="18"/>
        <v>0</v>
      </c>
      <c r="EI28" s="3">
        <f t="shared" si="18"/>
        <v>0</v>
      </c>
      <c r="EJ28" s="3">
        <f t="shared" si="18"/>
        <v>0</v>
      </c>
      <c r="EK28" s="3">
        <f t="shared" si="18"/>
        <v>0</v>
      </c>
      <c r="EL28" s="3">
        <f t="shared" si="18"/>
        <v>0</v>
      </c>
      <c r="EM28" s="3">
        <f aca="true" t="shared" si="19" ref="EM28:FR28">EM34</f>
        <v>0</v>
      </c>
      <c r="EN28" s="3">
        <f t="shared" si="19"/>
        <v>0</v>
      </c>
      <c r="EO28" s="3">
        <f t="shared" si="19"/>
        <v>0</v>
      </c>
      <c r="EP28" s="3">
        <f t="shared" si="19"/>
        <v>0</v>
      </c>
      <c r="EQ28" s="3">
        <f t="shared" si="19"/>
        <v>0</v>
      </c>
      <c r="ER28" s="3">
        <f t="shared" si="19"/>
        <v>0</v>
      </c>
      <c r="ES28" s="3">
        <f t="shared" si="19"/>
        <v>0</v>
      </c>
      <c r="ET28" s="3">
        <f t="shared" si="19"/>
        <v>0</v>
      </c>
      <c r="EU28" s="3">
        <f t="shared" si="19"/>
        <v>0</v>
      </c>
      <c r="EV28" s="3">
        <f t="shared" si="19"/>
        <v>0</v>
      </c>
      <c r="EW28" s="3">
        <f t="shared" si="19"/>
        <v>0</v>
      </c>
      <c r="EX28" s="3">
        <f t="shared" si="19"/>
        <v>0</v>
      </c>
      <c r="EY28" s="3">
        <f t="shared" si="19"/>
        <v>0</v>
      </c>
      <c r="EZ28" s="3">
        <f t="shared" si="19"/>
        <v>0</v>
      </c>
      <c r="FA28" s="3">
        <f t="shared" si="19"/>
        <v>0</v>
      </c>
      <c r="FB28" s="3">
        <f t="shared" si="19"/>
        <v>0</v>
      </c>
      <c r="FC28" s="3">
        <f t="shared" si="19"/>
        <v>0</v>
      </c>
      <c r="FD28" s="3">
        <f t="shared" si="19"/>
        <v>0</v>
      </c>
      <c r="FE28" s="3">
        <f t="shared" si="19"/>
        <v>0</v>
      </c>
      <c r="FF28" s="3">
        <f t="shared" si="19"/>
        <v>0</v>
      </c>
      <c r="FG28" s="3">
        <f t="shared" si="19"/>
        <v>0</v>
      </c>
      <c r="FH28" s="3">
        <f t="shared" si="19"/>
        <v>0</v>
      </c>
      <c r="FI28" s="3">
        <f t="shared" si="19"/>
        <v>0</v>
      </c>
      <c r="FJ28" s="3">
        <f t="shared" si="19"/>
        <v>0</v>
      </c>
      <c r="FK28" s="3">
        <f t="shared" si="19"/>
        <v>0</v>
      </c>
      <c r="FL28" s="3">
        <f t="shared" si="19"/>
        <v>0</v>
      </c>
      <c r="FM28" s="3">
        <f t="shared" si="19"/>
        <v>0</v>
      </c>
      <c r="FN28" s="3">
        <f t="shared" si="19"/>
        <v>0</v>
      </c>
      <c r="FO28" s="3">
        <f t="shared" si="19"/>
        <v>0</v>
      </c>
      <c r="FP28" s="3">
        <f t="shared" si="19"/>
        <v>0</v>
      </c>
      <c r="FQ28" s="3">
        <f t="shared" si="19"/>
        <v>0</v>
      </c>
      <c r="FR28" s="3">
        <f t="shared" si="19"/>
        <v>0</v>
      </c>
      <c r="FS28" s="3">
        <f aca="true" t="shared" si="20" ref="FS28:GX28">FS34</f>
        <v>0</v>
      </c>
      <c r="FT28" s="3">
        <f t="shared" si="20"/>
        <v>0</v>
      </c>
      <c r="FU28" s="3">
        <f t="shared" si="20"/>
        <v>0</v>
      </c>
      <c r="FV28" s="3">
        <f t="shared" si="20"/>
        <v>0</v>
      </c>
      <c r="FW28" s="3">
        <f t="shared" si="20"/>
        <v>0</v>
      </c>
      <c r="FX28" s="3">
        <f t="shared" si="20"/>
        <v>0</v>
      </c>
      <c r="FY28" s="3">
        <f t="shared" si="20"/>
        <v>0</v>
      </c>
      <c r="FZ28" s="3">
        <f t="shared" si="20"/>
        <v>0</v>
      </c>
      <c r="GA28" s="3">
        <f t="shared" si="20"/>
        <v>0</v>
      </c>
      <c r="GB28" s="3">
        <f t="shared" si="20"/>
        <v>0</v>
      </c>
      <c r="GC28" s="3">
        <f t="shared" si="20"/>
        <v>0</v>
      </c>
      <c r="GD28" s="3">
        <f t="shared" si="20"/>
        <v>0</v>
      </c>
      <c r="GE28" s="3">
        <f t="shared" si="20"/>
        <v>0</v>
      </c>
      <c r="GF28" s="3">
        <f t="shared" si="20"/>
        <v>0</v>
      </c>
      <c r="GG28" s="3">
        <f t="shared" si="20"/>
        <v>0</v>
      </c>
      <c r="GH28" s="3">
        <f t="shared" si="20"/>
        <v>0</v>
      </c>
      <c r="GI28" s="3">
        <f t="shared" si="20"/>
        <v>0</v>
      </c>
      <c r="GJ28" s="3">
        <f t="shared" si="20"/>
        <v>0</v>
      </c>
      <c r="GK28" s="3">
        <f t="shared" si="20"/>
        <v>0</v>
      </c>
      <c r="GL28" s="3">
        <f t="shared" si="20"/>
        <v>0</v>
      </c>
      <c r="GM28" s="3">
        <f t="shared" si="20"/>
        <v>0</v>
      </c>
      <c r="GN28" s="3">
        <f t="shared" si="20"/>
        <v>0</v>
      </c>
      <c r="GO28" s="3">
        <f t="shared" si="20"/>
        <v>0</v>
      </c>
      <c r="GP28" s="3">
        <f t="shared" si="20"/>
        <v>0</v>
      </c>
      <c r="GQ28" s="3">
        <f t="shared" si="20"/>
        <v>0</v>
      </c>
      <c r="GR28" s="3">
        <f t="shared" si="20"/>
        <v>0</v>
      </c>
      <c r="GS28" s="3">
        <f t="shared" si="20"/>
        <v>0</v>
      </c>
      <c r="GT28" s="3">
        <f t="shared" si="20"/>
        <v>0</v>
      </c>
      <c r="GU28" s="3">
        <f t="shared" si="20"/>
        <v>0</v>
      </c>
      <c r="GV28" s="3">
        <f t="shared" si="20"/>
        <v>0</v>
      </c>
      <c r="GW28" s="3">
        <f t="shared" si="20"/>
        <v>0</v>
      </c>
      <c r="GX28" s="3">
        <f t="shared" si="20"/>
        <v>0</v>
      </c>
    </row>
    <row r="30" spans="1:245" ht="12.75">
      <c r="A30">
        <v>17</v>
      </c>
      <c r="B30">
        <v>1</v>
      </c>
      <c r="C30">
        <f>ROW(SmtRes!A1)</f>
        <v>1</v>
      </c>
      <c r="D30">
        <f>ROW(EtalonRes!A1)</f>
        <v>1</v>
      </c>
      <c r="E30" t="s">
        <v>22</v>
      </c>
      <c r="F30" t="s">
        <v>23</v>
      </c>
      <c r="G30" t="s">
        <v>24</v>
      </c>
      <c r="H30" t="s">
        <v>25</v>
      </c>
      <c r="I30">
        <f>ROUND(1.05,3)</f>
        <v>1.05</v>
      </c>
      <c r="J30">
        <v>0</v>
      </c>
      <c r="O30">
        <f>ROUND(CP30,1)</f>
        <v>792</v>
      </c>
      <c r="P30">
        <f>ROUND(CQ30*I30,1)</f>
        <v>0</v>
      </c>
      <c r="Q30">
        <f>ROUND(CR30*I30,1)</f>
        <v>0</v>
      </c>
      <c r="R30">
        <f>ROUND(CS30*I30,1)</f>
        <v>0</v>
      </c>
      <c r="S30">
        <f>ROUND(CT30*I30,1)</f>
        <v>792</v>
      </c>
      <c r="T30">
        <f>ROUND(CU30*I30,1)</f>
        <v>0</v>
      </c>
      <c r="U30">
        <f>CV30*I30</f>
        <v>4.6514999999999995</v>
      </c>
      <c r="V30">
        <f>CW30*I30</f>
        <v>0</v>
      </c>
      <c r="W30">
        <f>ROUND(CX30*I30,1)</f>
        <v>0</v>
      </c>
      <c r="X30">
        <f aca="true" t="shared" si="21" ref="X30:Y32">ROUND(CY30,1)</f>
        <v>538.6</v>
      </c>
      <c r="Y30">
        <f t="shared" si="21"/>
        <v>285.1</v>
      </c>
      <c r="AA30">
        <v>42253831</v>
      </c>
      <c r="AB30">
        <f>ROUND((AC30+AD30+AF30),6)</f>
        <v>37.79</v>
      </c>
      <c r="AC30">
        <f>ROUND((ES30),6)</f>
        <v>0</v>
      </c>
      <c r="AD30">
        <f>ROUND((((ET30)-(EU30))+AE30),6)</f>
        <v>0</v>
      </c>
      <c r="AE30">
        <f>ROUND((EU30),6)</f>
        <v>0</v>
      </c>
      <c r="AF30">
        <f>ROUND((EV30),6)</f>
        <v>37.79</v>
      </c>
      <c r="AG30">
        <f>ROUND((AP30),6)</f>
        <v>0</v>
      </c>
      <c r="AH30">
        <f aca="true" t="shared" si="22" ref="AH30:AI32">(EW30)</f>
        <v>4.43</v>
      </c>
      <c r="AI30">
        <f t="shared" si="22"/>
        <v>0</v>
      </c>
      <c r="AJ30">
        <f>ROUND((AS30),6)</f>
        <v>0</v>
      </c>
      <c r="AK30">
        <v>37.79</v>
      </c>
      <c r="AL30">
        <v>0</v>
      </c>
      <c r="AM30">
        <v>0</v>
      </c>
      <c r="AN30">
        <v>0</v>
      </c>
      <c r="AO30">
        <v>37.79</v>
      </c>
      <c r="AP30">
        <v>0</v>
      </c>
      <c r="AQ30">
        <v>4.43</v>
      </c>
      <c r="AR30">
        <v>0</v>
      </c>
      <c r="AS30">
        <v>0</v>
      </c>
      <c r="AT30">
        <v>68</v>
      </c>
      <c r="AU30">
        <v>36</v>
      </c>
      <c r="AV30">
        <v>1</v>
      </c>
      <c r="AW30">
        <v>1</v>
      </c>
      <c r="AZ30">
        <v>1</v>
      </c>
      <c r="BA30">
        <v>19.96</v>
      </c>
      <c r="BB30">
        <v>7.11</v>
      </c>
      <c r="BC30">
        <v>5.66</v>
      </c>
      <c r="BH30">
        <v>0</v>
      </c>
      <c r="BI30">
        <v>1</v>
      </c>
      <c r="BJ30" t="s">
        <v>26</v>
      </c>
      <c r="BM30">
        <v>1007</v>
      </c>
      <c r="BN30">
        <v>0</v>
      </c>
      <c r="BO30" t="s">
        <v>27</v>
      </c>
      <c r="BP30">
        <v>1</v>
      </c>
      <c r="BQ30">
        <v>2</v>
      </c>
      <c r="BR30">
        <v>0</v>
      </c>
      <c r="BS30">
        <v>19.96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80</v>
      </c>
      <c r="CA30">
        <v>45</v>
      </c>
      <c r="CF30">
        <v>0</v>
      </c>
      <c r="CG30">
        <v>0</v>
      </c>
      <c r="CM30">
        <v>0</v>
      </c>
      <c r="CO30">
        <v>0</v>
      </c>
      <c r="CP30">
        <f>(P30+Q30+S30)</f>
        <v>792</v>
      </c>
      <c r="CQ30">
        <f>AC30*BC30</f>
        <v>0</v>
      </c>
      <c r="CR30">
        <f>AD30*BB30</f>
        <v>0</v>
      </c>
      <c r="CS30">
        <f>AE30*BS30</f>
        <v>0</v>
      </c>
      <c r="CT30">
        <f>AF30*BA30</f>
        <v>754.2884</v>
      </c>
      <c r="CU30">
        <f aca="true" t="shared" si="23" ref="CU30:CX32">AG30</f>
        <v>0</v>
      </c>
      <c r="CV30">
        <f t="shared" si="23"/>
        <v>4.43</v>
      </c>
      <c r="CW30">
        <f t="shared" si="23"/>
        <v>0</v>
      </c>
      <c r="CX30">
        <f t="shared" si="23"/>
        <v>0</v>
      </c>
      <c r="CY30">
        <f>(((S30+R30)*AT30)/100)</f>
        <v>538.56</v>
      </c>
      <c r="CZ30">
        <f>(((S30+R30)*AU30)/100)</f>
        <v>285.12</v>
      </c>
      <c r="DN30">
        <v>0</v>
      </c>
      <c r="DO30">
        <v>0</v>
      </c>
      <c r="DP30">
        <v>1</v>
      </c>
      <c r="DQ30">
        <v>1</v>
      </c>
      <c r="DU30">
        <v>1005</v>
      </c>
      <c r="DV30" t="s">
        <v>25</v>
      </c>
      <c r="DW30" t="s">
        <v>25</v>
      </c>
      <c r="DX30">
        <v>100</v>
      </c>
      <c r="EE30">
        <v>39125352</v>
      </c>
      <c r="EF30">
        <v>2</v>
      </c>
      <c r="EG30" t="s">
        <v>28</v>
      </c>
      <c r="EH30">
        <v>0</v>
      </c>
      <c r="EJ30">
        <v>1</v>
      </c>
      <c r="EK30">
        <v>1007</v>
      </c>
      <c r="EL30" t="s">
        <v>29</v>
      </c>
      <c r="EM30" t="s">
        <v>30</v>
      </c>
      <c r="EQ30">
        <v>0</v>
      </c>
      <c r="ER30">
        <v>37.79</v>
      </c>
      <c r="ES30">
        <v>0</v>
      </c>
      <c r="ET30">
        <v>0</v>
      </c>
      <c r="EU30">
        <v>0</v>
      </c>
      <c r="EV30">
        <v>37.79</v>
      </c>
      <c r="EW30">
        <v>4.43</v>
      </c>
      <c r="EX30">
        <v>0</v>
      </c>
      <c r="EY30">
        <v>0</v>
      </c>
      <c r="FQ30">
        <v>0</v>
      </c>
      <c r="FR30">
        <f>ROUND(IF(AND(BH30=3,BI30=3),P30,0),1)</f>
        <v>0</v>
      </c>
      <c r="FS30">
        <v>0</v>
      </c>
      <c r="FV30" t="s">
        <v>31</v>
      </c>
      <c r="FW30" t="s">
        <v>32</v>
      </c>
      <c r="FX30">
        <v>80</v>
      </c>
      <c r="FY30">
        <v>45</v>
      </c>
      <c r="GD30">
        <v>0</v>
      </c>
      <c r="GF30">
        <v>-1896964373</v>
      </c>
      <c r="GG30">
        <v>2</v>
      </c>
      <c r="GH30">
        <v>1</v>
      </c>
      <c r="GI30">
        <v>4</v>
      </c>
      <c r="GJ30">
        <v>0</v>
      </c>
      <c r="GK30">
        <f>ROUND(R30*(R12)/100,1)</f>
        <v>0</v>
      </c>
      <c r="GL30">
        <f>ROUND(IF(AND(BH30=3,BI30=3,FS30&lt;&gt;0),P30,0),1)</f>
        <v>0</v>
      </c>
      <c r="GM30">
        <f>ROUND(O30+X30+Y30+GK30,1)+GX30</f>
        <v>1615.7</v>
      </c>
      <c r="GN30">
        <f>IF(OR(BI30=0,BI30=1),GM30,0)</f>
        <v>1615.7</v>
      </c>
      <c r="GO30">
        <f>IF(BI30=2,GM30,0)</f>
        <v>0</v>
      </c>
      <c r="GP30">
        <f>IF(BI30=4,GM30,0)</f>
        <v>0</v>
      </c>
      <c r="GR30">
        <v>0</v>
      </c>
      <c r="GS30">
        <v>3</v>
      </c>
      <c r="GT30">
        <v>0</v>
      </c>
      <c r="GV30">
        <f>ROUND(GT30,6)</f>
        <v>0</v>
      </c>
      <c r="GW30">
        <v>19.96</v>
      </c>
      <c r="GX30">
        <f>ROUND(GV30*GW30*I30,1)</f>
        <v>0</v>
      </c>
      <c r="HA30">
        <v>0</v>
      </c>
      <c r="HB30">
        <v>0</v>
      </c>
      <c r="IK30">
        <v>0</v>
      </c>
    </row>
    <row r="31" spans="1:245" ht="12.75">
      <c r="A31">
        <v>17</v>
      </c>
      <c r="B31">
        <v>1</v>
      </c>
      <c r="E31" t="s">
        <v>33</v>
      </c>
      <c r="F31" t="s">
        <v>34</v>
      </c>
      <c r="G31" t="s">
        <v>35</v>
      </c>
      <c r="H31" t="s">
        <v>36</v>
      </c>
      <c r="I31">
        <f>ROUND(7,3)</f>
        <v>7</v>
      </c>
      <c r="J31">
        <v>0</v>
      </c>
      <c r="O31">
        <f>ROUND(CP31,1)</f>
        <v>1693.4</v>
      </c>
      <c r="P31">
        <f>ROUND(CQ31*I31,1)</f>
        <v>0</v>
      </c>
      <c r="Q31">
        <f>ROUND(CR31*I31,1)</f>
        <v>0</v>
      </c>
      <c r="R31">
        <f>ROUND(CS31*I31,1)</f>
        <v>0</v>
      </c>
      <c r="S31">
        <f>ROUND(CT31*I31,1)</f>
        <v>1693.4</v>
      </c>
      <c r="T31">
        <f>ROUND(CU31*I31,1)</f>
        <v>0</v>
      </c>
      <c r="U31">
        <f>CV31*I31</f>
        <v>0</v>
      </c>
      <c r="V31">
        <f>CW31*I31</f>
        <v>0</v>
      </c>
      <c r="W31">
        <f>ROUND(CX31*I31,1)</f>
        <v>0</v>
      </c>
      <c r="X31">
        <f t="shared" si="21"/>
        <v>0</v>
      </c>
      <c r="Y31">
        <f t="shared" si="21"/>
        <v>0</v>
      </c>
      <c r="AA31">
        <v>42253831</v>
      </c>
      <c r="AB31">
        <f>ROUND(12.12,6)</f>
        <v>12.12</v>
      </c>
      <c r="AC31">
        <f>ROUND((ES31),6)</f>
        <v>0</v>
      </c>
      <c r="AD31">
        <f>ROUND(((ET31)+ROUND(((EU31)*1.6),2)),6)</f>
        <v>0</v>
      </c>
      <c r="AE31">
        <f>ROUND(((EU31)+ROUND(((EU31)*1.6),2)),6)</f>
        <v>0</v>
      </c>
      <c r="AF31">
        <f>ROUND(12.12,6)</f>
        <v>12.12</v>
      </c>
      <c r="AG31">
        <f>ROUND((AP31),6)</f>
        <v>0</v>
      </c>
      <c r="AH31">
        <f t="shared" si="22"/>
        <v>0</v>
      </c>
      <c r="AI31">
        <f t="shared" si="22"/>
        <v>0</v>
      </c>
      <c r="AJ31">
        <f>ROUND((AS31),6)</f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19.96</v>
      </c>
      <c r="BB31">
        <v>7.11</v>
      </c>
      <c r="BC31">
        <v>5.66</v>
      </c>
      <c r="BH31">
        <v>0</v>
      </c>
      <c r="BI31">
        <v>1</v>
      </c>
      <c r="BJ31" t="s">
        <v>37</v>
      </c>
      <c r="BM31">
        <v>700004</v>
      </c>
      <c r="BN31">
        <v>0</v>
      </c>
      <c r="BO31" t="s">
        <v>27</v>
      </c>
      <c r="BP31">
        <v>1</v>
      </c>
      <c r="BQ31">
        <v>19</v>
      </c>
      <c r="BR31">
        <v>0</v>
      </c>
      <c r="BS31">
        <v>19.96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0</v>
      </c>
      <c r="CA31">
        <v>0</v>
      </c>
      <c r="CF31">
        <v>0</v>
      </c>
      <c r="CG31">
        <v>0</v>
      </c>
      <c r="CM31">
        <v>0</v>
      </c>
      <c r="CO31">
        <v>0</v>
      </c>
      <c r="CP31">
        <f>(P31+Q31+S31)</f>
        <v>1693.4</v>
      </c>
      <c r="CQ31">
        <f>AC31*BC31</f>
        <v>0</v>
      </c>
      <c r="CR31">
        <f>AD31*BB31</f>
        <v>0</v>
      </c>
      <c r="CS31">
        <f>AE31*BS31</f>
        <v>0</v>
      </c>
      <c r="CT31">
        <f>AF31*BA31</f>
        <v>241.9152</v>
      </c>
      <c r="CU31">
        <f t="shared" si="23"/>
        <v>0</v>
      </c>
      <c r="CV31">
        <f t="shared" si="23"/>
        <v>0</v>
      </c>
      <c r="CW31">
        <f t="shared" si="23"/>
        <v>0</v>
      </c>
      <c r="CX31">
        <f t="shared" si="23"/>
        <v>0</v>
      </c>
      <c r="CY31">
        <f>(((S31+R31)*AT31)/100)</f>
        <v>0</v>
      </c>
      <c r="CZ31">
        <f>(((S31+R31)*AU31)/100)</f>
        <v>0</v>
      </c>
      <c r="DC31" t="s">
        <v>38</v>
      </c>
      <c r="DG31" t="s">
        <v>38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36</v>
      </c>
      <c r="DW31" t="s">
        <v>36</v>
      </c>
      <c r="DX31">
        <v>1</v>
      </c>
      <c r="EE31">
        <v>39125564</v>
      </c>
      <c r="EF31">
        <v>19</v>
      </c>
      <c r="EG31" t="s">
        <v>39</v>
      </c>
      <c r="EH31">
        <v>0</v>
      </c>
      <c r="EJ31">
        <v>1</v>
      </c>
      <c r="EK31">
        <v>700004</v>
      </c>
      <c r="EL31" t="s">
        <v>40</v>
      </c>
      <c r="EM31" t="s">
        <v>41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FQ31">
        <v>0</v>
      </c>
      <c r="FR31">
        <f>ROUND(IF(AND(BH31=3,BI31=3),P31,0),1)</f>
        <v>0</v>
      </c>
      <c r="FS31">
        <v>0</v>
      </c>
      <c r="FX31">
        <v>0</v>
      </c>
      <c r="FY31">
        <v>0</v>
      </c>
      <c r="GD31">
        <v>0</v>
      </c>
      <c r="GF31">
        <v>2073633582</v>
      </c>
      <c r="GG31">
        <v>2</v>
      </c>
      <c r="GH31">
        <v>1</v>
      </c>
      <c r="GI31">
        <v>4</v>
      </c>
      <c r="GJ31">
        <v>0</v>
      </c>
      <c r="GK31">
        <f>ROUND(R31*(R12)/100,1)</f>
        <v>0</v>
      </c>
      <c r="GL31">
        <f>ROUND(IF(AND(BH31=3,BI31=3,FS31&lt;&gt;0),P31,0),1)</f>
        <v>0</v>
      </c>
      <c r="GM31">
        <f>ROUND(O31+X31+Y31+GK31,1)+GX31</f>
        <v>1693.4</v>
      </c>
      <c r="GN31">
        <f>IF(OR(BI31=0,BI31=1),GM31,0)</f>
        <v>1693.4</v>
      </c>
      <c r="GO31">
        <f>IF(BI31=2,GM31,0)</f>
        <v>0</v>
      </c>
      <c r="GP31">
        <f>IF(BI31=4,GM31,0)</f>
        <v>0</v>
      </c>
      <c r="GR31">
        <v>0</v>
      </c>
      <c r="GS31">
        <v>0</v>
      </c>
      <c r="GT31">
        <v>0</v>
      </c>
      <c r="GV31">
        <f>ROUND(GT31,6)</f>
        <v>0</v>
      </c>
      <c r="GW31">
        <v>19.96</v>
      </c>
      <c r="GX31">
        <f>ROUND(GV31*GW31*I31,1)</f>
        <v>0</v>
      </c>
      <c r="HA31">
        <v>0</v>
      </c>
      <c r="HB31">
        <v>0</v>
      </c>
      <c r="IK31">
        <v>0</v>
      </c>
    </row>
    <row r="32" spans="1:245" ht="12.75">
      <c r="A32">
        <v>17</v>
      </c>
      <c r="B32">
        <v>1</v>
      </c>
      <c r="E32" t="s">
        <v>42</v>
      </c>
      <c r="F32" t="s">
        <v>43</v>
      </c>
      <c r="G32" t="s">
        <v>44</v>
      </c>
      <c r="H32" t="s">
        <v>36</v>
      </c>
      <c r="I32">
        <f>ROUND(7,3)</f>
        <v>7</v>
      </c>
      <c r="J32">
        <v>0</v>
      </c>
      <c r="O32">
        <f>ROUND(CP32,1)</f>
        <v>519.8</v>
      </c>
      <c r="P32">
        <f>ROUND(CQ32*I32,1)</f>
        <v>0</v>
      </c>
      <c r="Q32">
        <f>ROUND(CR32*I32,1)</f>
        <v>519.8</v>
      </c>
      <c r="R32">
        <f>ROUND(CS32*I32,1)</f>
        <v>0</v>
      </c>
      <c r="S32">
        <f>ROUND(CT32*I32,1)</f>
        <v>0</v>
      </c>
      <c r="T32">
        <f>ROUND(CU32*I32,1)</f>
        <v>0</v>
      </c>
      <c r="U32">
        <f>CV32*I32</f>
        <v>0</v>
      </c>
      <c r="V32">
        <f>CW32*I32</f>
        <v>0</v>
      </c>
      <c r="W32">
        <f>ROUND(CX32*I32,1)</f>
        <v>0</v>
      </c>
      <c r="X32">
        <f t="shared" si="21"/>
        <v>0</v>
      </c>
      <c r="Y32">
        <f t="shared" si="21"/>
        <v>0</v>
      </c>
      <c r="AA32">
        <v>42253831</v>
      </c>
      <c r="AB32">
        <f>ROUND(13.38,6)</f>
        <v>13.38</v>
      </c>
      <c r="AC32">
        <f>ROUND((ES32),6)</f>
        <v>0</v>
      </c>
      <c r="AD32">
        <f>ROUND(13.38,6)</f>
        <v>13.38</v>
      </c>
      <c r="AE32">
        <f>ROUND((EU32),6)</f>
        <v>0</v>
      </c>
      <c r="AF32">
        <f>ROUND((EV32),6)</f>
        <v>0</v>
      </c>
      <c r="AG32">
        <f>ROUND((AP32),6)</f>
        <v>0</v>
      </c>
      <c r="AH32">
        <f t="shared" si="22"/>
        <v>0</v>
      </c>
      <c r="AI32">
        <f t="shared" si="22"/>
        <v>0</v>
      </c>
      <c r="AJ32">
        <f>ROUND((AS32),6)</f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1</v>
      </c>
      <c r="AZ32">
        <v>1</v>
      </c>
      <c r="BA32">
        <v>19.96</v>
      </c>
      <c r="BB32">
        <v>5.55</v>
      </c>
      <c r="BC32">
        <v>5.66</v>
      </c>
      <c r="BH32">
        <v>0</v>
      </c>
      <c r="BI32">
        <v>1</v>
      </c>
      <c r="BJ32" t="s">
        <v>45</v>
      </c>
      <c r="BM32">
        <v>700005</v>
      </c>
      <c r="BN32">
        <v>0</v>
      </c>
      <c r="BO32" t="s">
        <v>27</v>
      </c>
      <c r="BP32">
        <v>1</v>
      </c>
      <c r="BQ32">
        <v>10</v>
      </c>
      <c r="BR32">
        <v>0</v>
      </c>
      <c r="BS32">
        <v>19.96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0</v>
      </c>
      <c r="CA32">
        <v>0</v>
      </c>
      <c r="CF32">
        <v>0</v>
      </c>
      <c r="CG32">
        <v>0</v>
      </c>
      <c r="CM32">
        <v>0</v>
      </c>
      <c r="CO32">
        <v>0</v>
      </c>
      <c r="CP32">
        <f>(P32+Q32+S32)</f>
        <v>519.8</v>
      </c>
      <c r="CQ32">
        <f>AC32*BC32</f>
        <v>0</v>
      </c>
      <c r="CR32">
        <f>AD32*BB32</f>
        <v>74.259</v>
      </c>
      <c r="CS32">
        <f>AE32*BS32</f>
        <v>0</v>
      </c>
      <c r="CT32">
        <f>AF32*BA32</f>
        <v>0</v>
      </c>
      <c r="CU32">
        <f t="shared" si="23"/>
        <v>0</v>
      </c>
      <c r="CV32">
        <f t="shared" si="23"/>
        <v>0</v>
      </c>
      <c r="CW32">
        <f t="shared" si="23"/>
        <v>0</v>
      </c>
      <c r="CX32">
        <f t="shared" si="23"/>
        <v>0</v>
      </c>
      <c r="CY32">
        <f>0</f>
        <v>0</v>
      </c>
      <c r="CZ32">
        <f>0</f>
        <v>0</v>
      </c>
      <c r="DC32" t="s">
        <v>46</v>
      </c>
      <c r="DE32" t="s">
        <v>46</v>
      </c>
      <c r="DN32">
        <v>0</v>
      </c>
      <c r="DO32">
        <v>0</v>
      </c>
      <c r="DP32">
        <v>1</v>
      </c>
      <c r="DQ32">
        <v>1</v>
      </c>
      <c r="DU32">
        <v>1013</v>
      </c>
      <c r="DV32" t="s">
        <v>36</v>
      </c>
      <c r="DW32" t="s">
        <v>36</v>
      </c>
      <c r="DX32">
        <v>1</v>
      </c>
      <c r="EE32">
        <v>39125568</v>
      </c>
      <c r="EF32">
        <v>10</v>
      </c>
      <c r="EG32" t="s">
        <v>47</v>
      </c>
      <c r="EH32">
        <v>0</v>
      </c>
      <c r="EJ32">
        <v>1</v>
      </c>
      <c r="EK32">
        <v>700005</v>
      </c>
      <c r="EL32" t="s">
        <v>48</v>
      </c>
      <c r="EM32" t="s">
        <v>49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FQ32">
        <v>0</v>
      </c>
      <c r="FR32">
        <f>ROUND(IF(AND(BH32=3,BI32=3),P32,0),1)</f>
        <v>0</v>
      </c>
      <c r="FS32">
        <v>0</v>
      </c>
      <c r="FX32">
        <v>0</v>
      </c>
      <c r="FY32">
        <v>0</v>
      </c>
      <c r="GD32">
        <v>0</v>
      </c>
      <c r="GF32">
        <v>924588137</v>
      </c>
      <c r="GG32">
        <v>2</v>
      </c>
      <c r="GH32">
        <v>1</v>
      </c>
      <c r="GI32">
        <v>4</v>
      </c>
      <c r="GJ32">
        <v>0</v>
      </c>
      <c r="GK32">
        <f>ROUND(R32*(R12)/100,1)</f>
        <v>0</v>
      </c>
      <c r="GL32">
        <f>ROUND(IF(AND(BH32=3,BI32=3,FS32&lt;&gt;0),P32,0),1)</f>
        <v>0</v>
      </c>
      <c r="GM32">
        <f>ROUND(O32+X32+Y32+GK32,1)+GX32</f>
        <v>519.8</v>
      </c>
      <c r="GN32">
        <f>IF(OR(BI32=0,BI32=1),GM32,0)</f>
        <v>519.8</v>
      </c>
      <c r="GO32">
        <f>IF(BI32=2,GM32,0)</f>
        <v>0</v>
      </c>
      <c r="GP32">
        <f>IF(BI32=4,GM32,0)</f>
        <v>0</v>
      </c>
      <c r="GR32">
        <v>0</v>
      </c>
      <c r="GS32">
        <v>0</v>
      </c>
      <c r="GT32">
        <v>0</v>
      </c>
      <c r="GV32">
        <f>ROUND(GT32,6)</f>
        <v>0</v>
      </c>
      <c r="GW32">
        <v>19.96</v>
      </c>
      <c r="GX32">
        <f>ROUND(GV32*GW32*I32,1)</f>
        <v>0</v>
      </c>
      <c r="HA32">
        <v>0</v>
      </c>
      <c r="HB32">
        <v>0</v>
      </c>
      <c r="IK32">
        <v>0</v>
      </c>
    </row>
    <row r="34" spans="1:206" ht="12.75">
      <c r="A34" s="2">
        <v>51</v>
      </c>
      <c r="B34" s="2">
        <f>B26</f>
        <v>1</v>
      </c>
      <c r="C34" s="2">
        <f>A26</f>
        <v>4</v>
      </c>
      <c r="D34" s="2">
        <f>ROW(A26)</f>
        <v>26</v>
      </c>
      <c r="E34" s="2"/>
      <c r="F34" s="2" t="str">
        <f>IF(F26&lt;&gt;"",F26,"")</f>
        <v>Новый раздел</v>
      </c>
      <c r="G34" s="2" t="str">
        <f>IF(G26&lt;&gt;"",G26,"")</f>
        <v>Вырубка кустарников-10м3</v>
      </c>
      <c r="H34" s="2">
        <v>0</v>
      </c>
      <c r="I34" s="2"/>
      <c r="J34" s="2"/>
      <c r="K34" s="2"/>
      <c r="L34" s="2"/>
      <c r="M34" s="2"/>
      <c r="N34" s="2"/>
      <c r="O34" s="2">
        <f aca="true" t="shared" si="24" ref="O34:T34">ROUND(AB34,1)</f>
        <v>3005.2</v>
      </c>
      <c r="P34" s="2">
        <f t="shared" si="24"/>
        <v>0</v>
      </c>
      <c r="Q34" s="2">
        <f t="shared" si="24"/>
        <v>519.8</v>
      </c>
      <c r="R34" s="2">
        <f t="shared" si="24"/>
        <v>0</v>
      </c>
      <c r="S34" s="2">
        <f t="shared" si="24"/>
        <v>2485.4</v>
      </c>
      <c r="T34" s="2">
        <f t="shared" si="24"/>
        <v>0</v>
      </c>
      <c r="U34" s="2">
        <f>AH34</f>
        <v>4.6514999999999995</v>
      </c>
      <c r="V34" s="2">
        <f>AI34</f>
        <v>0</v>
      </c>
      <c r="W34" s="2">
        <f>ROUND(AJ34,1)</f>
        <v>0</v>
      </c>
      <c r="X34" s="2">
        <f>ROUND(AK34,1)</f>
        <v>538.6</v>
      </c>
      <c r="Y34" s="2">
        <f>ROUND(AL34,1)</f>
        <v>285.1</v>
      </c>
      <c r="Z34" s="2"/>
      <c r="AA34" s="2"/>
      <c r="AB34" s="2">
        <f>ROUND(SUMIF(AA30:AA32,"=42253831",O30:O32),1)</f>
        <v>3005.2</v>
      </c>
      <c r="AC34" s="2">
        <f>ROUND(SUMIF(AA30:AA32,"=42253831",P30:P32),1)</f>
        <v>0</v>
      </c>
      <c r="AD34" s="2">
        <f>ROUND(SUMIF(AA30:AA32,"=42253831",Q30:Q32),1)</f>
        <v>519.8</v>
      </c>
      <c r="AE34" s="2">
        <f>ROUND(SUMIF(AA30:AA32,"=42253831",R30:R32),1)</f>
        <v>0</v>
      </c>
      <c r="AF34" s="2">
        <f>ROUND(SUMIF(AA30:AA32,"=42253831",S30:S32),1)</f>
        <v>2485.4</v>
      </c>
      <c r="AG34" s="2">
        <f>ROUND(SUMIF(AA30:AA32,"=42253831",T30:T32),1)</f>
        <v>0</v>
      </c>
      <c r="AH34" s="2">
        <f>SUMIF(AA30:AA32,"=42253831",U30:U32)</f>
        <v>4.6514999999999995</v>
      </c>
      <c r="AI34" s="2">
        <f>SUMIF(AA30:AA32,"=42253831",V30:V32)</f>
        <v>0</v>
      </c>
      <c r="AJ34" s="2">
        <f>ROUND(SUMIF(AA30:AA32,"=42253831",W30:W32),1)</f>
        <v>0</v>
      </c>
      <c r="AK34" s="2">
        <f>ROUND(SUMIF(AA30:AA32,"=42253831",X30:X32),1)</f>
        <v>538.6</v>
      </c>
      <c r="AL34" s="2">
        <f>ROUND(SUMIF(AA30:AA32,"=42253831",Y30:Y32),1)</f>
        <v>285.1</v>
      </c>
      <c r="AM34" s="2"/>
      <c r="AN34" s="2"/>
      <c r="AO34" s="2">
        <f aca="true" t="shared" si="25" ref="AO34:BC34">ROUND(BX34,1)</f>
        <v>0</v>
      </c>
      <c r="AP34" s="2">
        <f t="shared" si="25"/>
        <v>0</v>
      </c>
      <c r="AQ34" s="2">
        <f t="shared" si="25"/>
        <v>0</v>
      </c>
      <c r="AR34" s="2">
        <f t="shared" si="25"/>
        <v>3828.9</v>
      </c>
      <c r="AS34" s="2">
        <f t="shared" si="25"/>
        <v>3828.9</v>
      </c>
      <c r="AT34" s="2">
        <f t="shared" si="25"/>
        <v>0</v>
      </c>
      <c r="AU34" s="2">
        <f t="shared" si="25"/>
        <v>0</v>
      </c>
      <c r="AV34" s="2">
        <f t="shared" si="25"/>
        <v>0</v>
      </c>
      <c r="AW34" s="2">
        <f t="shared" si="25"/>
        <v>0</v>
      </c>
      <c r="AX34" s="2">
        <f t="shared" si="25"/>
        <v>0</v>
      </c>
      <c r="AY34" s="2">
        <f t="shared" si="25"/>
        <v>0</v>
      </c>
      <c r="AZ34" s="2">
        <f t="shared" si="25"/>
        <v>0</v>
      </c>
      <c r="BA34" s="2">
        <f t="shared" si="25"/>
        <v>0</v>
      </c>
      <c r="BB34" s="2">
        <f t="shared" si="25"/>
        <v>0</v>
      </c>
      <c r="BC34" s="2">
        <f t="shared" si="25"/>
        <v>0</v>
      </c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>
        <f>ROUND(SUMIF(AA30:AA32,"=42253831",FQ30:FQ32),1)</f>
        <v>0</v>
      </c>
      <c r="BY34" s="2">
        <f>ROUND(SUMIF(AA30:AA32,"=42253831",FR30:FR32),1)</f>
        <v>0</v>
      </c>
      <c r="BZ34" s="2">
        <f>ROUND(SUMIF(AA30:AA32,"=42253831",GL30:GL32),1)</f>
        <v>0</v>
      </c>
      <c r="CA34" s="2">
        <f>ROUND(SUMIF(AA30:AA32,"=42253831",GM30:GM32),1)</f>
        <v>3828.9</v>
      </c>
      <c r="CB34" s="2">
        <f>ROUND(SUMIF(AA30:AA32,"=42253831",GN30:GN32),1)</f>
        <v>3828.9</v>
      </c>
      <c r="CC34" s="2">
        <f>ROUND(SUMIF(AA30:AA32,"=42253831",GO30:GO32),1)</f>
        <v>0</v>
      </c>
      <c r="CD34" s="2">
        <f>ROUND(SUMIF(AA30:AA32,"=42253831",GP30:GP32),1)</f>
        <v>0</v>
      </c>
      <c r="CE34" s="2">
        <f>AC34-BX34</f>
        <v>0</v>
      </c>
      <c r="CF34" s="2">
        <f>AC34-BY34</f>
        <v>0</v>
      </c>
      <c r="CG34" s="2">
        <f>BX34-BZ34</f>
        <v>0</v>
      </c>
      <c r="CH34" s="2">
        <f>AC34-BX34-BY34+BZ34</f>
        <v>0</v>
      </c>
      <c r="CI34" s="2">
        <f>BY34-BZ34</f>
        <v>0</v>
      </c>
      <c r="CJ34" s="2">
        <f>ROUND(SUMIF(AA30:AA32,"=42253831",GX30:GX32),1)</f>
        <v>0</v>
      </c>
      <c r="CK34" s="2">
        <f>ROUND(SUMIF(AA30:AA32,"=42253831",GY30:GY32),1)</f>
        <v>0</v>
      </c>
      <c r="CL34" s="2">
        <f>ROUND(SUMIF(AA30:AA32,"=42253831",GZ30:GZ32),1)</f>
        <v>0</v>
      </c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>
        <v>0</v>
      </c>
    </row>
    <row r="36" spans="1:23" ht="12.75">
      <c r="A36" s="4">
        <v>50</v>
      </c>
      <c r="B36" s="4">
        <v>0</v>
      </c>
      <c r="C36" s="4">
        <v>0</v>
      </c>
      <c r="D36" s="4">
        <v>1</v>
      </c>
      <c r="E36" s="4">
        <v>201</v>
      </c>
      <c r="F36" s="4">
        <f>ROUND(Source!O34,O36)</f>
        <v>3005.2</v>
      </c>
      <c r="G36" s="4" t="s">
        <v>50</v>
      </c>
      <c r="H36" s="4" t="s">
        <v>51</v>
      </c>
      <c r="I36" s="4"/>
      <c r="J36" s="4"/>
      <c r="K36" s="4">
        <v>201</v>
      </c>
      <c r="L36" s="4">
        <v>1</v>
      </c>
      <c r="M36" s="4">
        <v>3</v>
      </c>
      <c r="N36" s="4" t="s">
        <v>3</v>
      </c>
      <c r="O36" s="4">
        <v>1</v>
      </c>
      <c r="P36" s="4"/>
      <c r="Q36" s="4"/>
      <c r="R36" s="4"/>
      <c r="S36" s="4"/>
      <c r="T36" s="4"/>
      <c r="U36" s="4"/>
      <c r="V36" s="4"/>
      <c r="W36" s="4"/>
    </row>
    <row r="37" spans="1:23" ht="12.75">
      <c r="A37" s="4">
        <v>50</v>
      </c>
      <c r="B37" s="4">
        <v>0</v>
      </c>
      <c r="C37" s="4">
        <v>0</v>
      </c>
      <c r="D37" s="4">
        <v>1</v>
      </c>
      <c r="E37" s="4">
        <v>202</v>
      </c>
      <c r="F37" s="4">
        <f>ROUND(Source!P34,O37)</f>
        <v>0</v>
      </c>
      <c r="G37" s="4" t="s">
        <v>52</v>
      </c>
      <c r="H37" s="4" t="s">
        <v>53</v>
      </c>
      <c r="I37" s="4"/>
      <c r="J37" s="4"/>
      <c r="K37" s="4">
        <v>202</v>
      </c>
      <c r="L37" s="4">
        <v>2</v>
      </c>
      <c r="M37" s="4">
        <v>3</v>
      </c>
      <c r="N37" s="4" t="s">
        <v>3</v>
      </c>
      <c r="O37" s="4">
        <v>1</v>
      </c>
      <c r="P37" s="4"/>
      <c r="Q37" s="4"/>
      <c r="R37" s="4"/>
      <c r="S37" s="4"/>
      <c r="T37" s="4"/>
      <c r="U37" s="4"/>
      <c r="V37" s="4"/>
      <c r="W37" s="4"/>
    </row>
    <row r="38" spans="1:23" ht="12.75">
      <c r="A38" s="4">
        <v>50</v>
      </c>
      <c r="B38" s="4">
        <v>0</v>
      </c>
      <c r="C38" s="4">
        <v>0</v>
      </c>
      <c r="D38" s="4">
        <v>1</v>
      </c>
      <c r="E38" s="4">
        <v>222</v>
      </c>
      <c r="F38" s="4">
        <f>ROUND(Source!AO34,O38)</f>
        <v>0</v>
      </c>
      <c r="G38" s="4" t="s">
        <v>54</v>
      </c>
      <c r="H38" s="4" t="s">
        <v>55</v>
      </c>
      <c r="I38" s="4"/>
      <c r="J38" s="4"/>
      <c r="K38" s="4">
        <v>222</v>
      </c>
      <c r="L38" s="4">
        <v>3</v>
      </c>
      <c r="M38" s="4">
        <v>3</v>
      </c>
      <c r="N38" s="4" t="s">
        <v>3</v>
      </c>
      <c r="O38" s="4">
        <v>1</v>
      </c>
      <c r="P38" s="4"/>
      <c r="Q38" s="4"/>
      <c r="R38" s="4"/>
      <c r="S38" s="4"/>
      <c r="T38" s="4"/>
      <c r="U38" s="4"/>
      <c r="V38" s="4"/>
      <c r="W38" s="4"/>
    </row>
    <row r="39" spans="1:23" ht="12.75">
      <c r="A39" s="4">
        <v>50</v>
      </c>
      <c r="B39" s="4">
        <v>0</v>
      </c>
      <c r="C39" s="4">
        <v>0</v>
      </c>
      <c r="D39" s="4">
        <v>1</v>
      </c>
      <c r="E39" s="4">
        <v>225</v>
      </c>
      <c r="F39" s="4">
        <f>ROUND(Source!AV34,O39)</f>
        <v>0</v>
      </c>
      <c r="G39" s="4" t="s">
        <v>56</v>
      </c>
      <c r="H39" s="4" t="s">
        <v>57</v>
      </c>
      <c r="I39" s="4"/>
      <c r="J39" s="4"/>
      <c r="K39" s="4">
        <v>225</v>
      </c>
      <c r="L39" s="4">
        <v>4</v>
      </c>
      <c r="M39" s="4">
        <v>3</v>
      </c>
      <c r="N39" s="4" t="s">
        <v>3</v>
      </c>
      <c r="O39" s="4">
        <v>1</v>
      </c>
      <c r="P39" s="4"/>
      <c r="Q39" s="4"/>
      <c r="R39" s="4"/>
      <c r="S39" s="4"/>
      <c r="T39" s="4"/>
      <c r="U39" s="4"/>
      <c r="V39" s="4"/>
      <c r="W39" s="4"/>
    </row>
    <row r="40" spans="1:23" ht="12.75">
      <c r="A40" s="4">
        <v>50</v>
      </c>
      <c r="B40" s="4">
        <v>0</v>
      </c>
      <c r="C40" s="4">
        <v>0</v>
      </c>
      <c r="D40" s="4">
        <v>1</v>
      </c>
      <c r="E40" s="4">
        <v>226</v>
      </c>
      <c r="F40" s="4">
        <f>ROUND(Source!AW34,O40)</f>
        <v>0</v>
      </c>
      <c r="G40" s="4" t="s">
        <v>58</v>
      </c>
      <c r="H40" s="4" t="s">
        <v>59</v>
      </c>
      <c r="I40" s="4"/>
      <c r="J40" s="4"/>
      <c r="K40" s="4">
        <v>226</v>
      </c>
      <c r="L40" s="4">
        <v>5</v>
      </c>
      <c r="M40" s="4">
        <v>3</v>
      </c>
      <c r="N40" s="4" t="s">
        <v>3</v>
      </c>
      <c r="O40" s="4">
        <v>1</v>
      </c>
      <c r="P40" s="4"/>
      <c r="Q40" s="4"/>
      <c r="R40" s="4"/>
      <c r="S40" s="4"/>
      <c r="T40" s="4"/>
      <c r="U40" s="4"/>
      <c r="V40" s="4"/>
      <c r="W40" s="4"/>
    </row>
    <row r="41" spans="1:23" ht="12.75">
      <c r="A41" s="4">
        <v>50</v>
      </c>
      <c r="B41" s="4">
        <v>0</v>
      </c>
      <c r="C41" s="4">
        <v>0</v>
      </c>
      <c r="D41" s="4">
        <v>1</v>
      </c>
      <c r="E41" s="4">
        <v>227</v>
      </c>
      <c r="F41" s="4">
        <f>ROUND(Source!AX34,O41)</f>
        <v>0</v>
      </c>
      <c r="G41" s="4" t="s">
        <v>60</v>
      </c>
      <c r="H41" s="4" t="s">
        <v>61</v>
      </c>
      <c r="I41" s="4"/>
      <c r="J41" s="4"/>
      <c r="K41" s="4">
        <v>227</v>
      </c>
      <c r="L41" s="4">
        <v>6</v>
      </c>
      <c r="M41" s="4">
        <v>3</v>
      </c>
      <c r="N41" s="4" t="s">
        <v>3</v>
      </c>
      <c r="O41" s="4">
        <v>1</v>
      </c>
      <c r="P41" s="4"/>
      <c r="Q41" s="4"/>
      <c r="R41" s="4"/>
      <c r="S41" s="4"/>
      <c r="T41" s="4"/>
      <c r="U41" s="4"/>
      <c r="V41" s="4"/>
      <c r="W41" s="4"/>
    </row>
    <row r="42" spans="1:23" ht="12.75">
      <c r="A42" s="4">
        <v>50</v>
      </c>
      <c r="B42" s="4">
        <v>0</v>
      </c>
      <c r="C42" s="4">
        <v>0</v>
      </c>
      <c r="D42" s="4">
        <v>1</v>
      </c>
      <c r="E42" s="4">
        <v>228</v>
      </c>
      <c r="F42" s="4">
        <f>ROUND(Source!AY34,O42)</f>
        <v>0</v>
      </c>
      <c r="G42" s="4" t="s">
        <v>62</v>
      </c>
      <c r="H42" s="4" t="s">
        <v>63</v>
      </c>
      <c r="I42" s="4"/>
      <c r="J42" s="4"/>
      <c r="K42" s="4">
        <v>228</v>
      </c>
      <c r="L42" s="4">
        <v>7</v>
      </c>
      <c r="M42" s="4">
        <v>3</v>
      </c>
      <c r="N42" s="4" t="s">
        <v>3</v>
      </c>
      <c r="O42" s="4">
        <v>1</v>
      </c>
      <c r="P42" s="4"/>
      <c r="Q42" s="4"/>
      <c r="R42" s="4"/>
      <c r="S42" s="4"/>
      <c r="T42" s="4"/>
      <c r="U42" s="4"/>
      <c r="V42" s="4"/>
      <c r="W42" s="4"/>
    </row>
    <row r="43" spans="1:23" ht="12.75">
      <c r="A43" s="4">
        <v>50</v>
      </c>
      <c r="B43" s="4">
        <v>0</v>
      </c>
      <c r="C43" s="4">
        <v>0</v>
      </c>
      <c r="D43" s="4">
        <v>1</v>
      </c>
      <c r="E43" s="4">
        <v>216</v>
      </c>
      <c r="F43" s="4">
        <f>ROUND(Source!AP34,O43)</f>
        <v>0</v>
      </c>
      <c r="G43" s="4" t="s">
        <v>64</v>
      </c>
      <c r="H43" s="4" t="s">
        <v>65</v>
      </c>
      <c r="I43" s="4"/>
      <c r="J43" s="4"/>
      <c r="K43" s="4">
        <v>216</v>
      </c>
      <c r="L43" s="4">
        <v>8</v>
      </c>
      <c r="M43" s="4">
        <v>3</v>
      </c>
      <c r="N43" s="4" t="s">
        <v>3</v>
      </c>
      <c r="O43" s="4">
        <v>1</v>
      </c>
      <c r="P43" s="4"/>
      <c r="Q43" s="4"/>
      <c r="R43" s="4"/>
      <c r="S43" s="4"/>
      <c r="T43" s="4"/>
      <c r="U43" s="4"/>
      <c r="V43" s="4"/>
      <c r="W43" s="4"/>
    </row>
    <row r="44" spans="1:23" ht="12.75">
      <c r="A44" s="4">
        <v>50</v>
      </c>
      <c r="B44" s="4">
        <v>0</v>
      </c>
      <c r="C44" s="4">
        <v>0</v>
      </c>
      <c r="D44" s="4">
        <v>1</v>
      </c>
      <c r="E44" s="4">
        <v>223</v>
      </c>
      <c r="F44" s="4">
        <f>ROUND(Source!AQ34,O44)</f>
        <v>0</v>
      </c>
      <c r="G44" s="4" t="s">
        <v>66</v>
      </c>
      <c r="H44" s="4" t="s">
        <v>67</v>
      </c>
      <c r="I44" s="4"/>
      <c r="J44" s="4"/>
      <c r="K44" s="4">
        <v>223</v>
      </c>
      <c r="L44" s="4">
        <v>9</v>
      </c>
      <c r="M44" s="4">
        <v>3</v>
      </c>
      <c r="N44" s="4" t="s">
        <v>3</v>
      </c>
      <c r="O44" s="4">
        <v>1</v>
      </c>
      <c r="P44" s="4"/>
      <c r="Q44" s="4"/>
      <c r="R44" s="4"/>
      <c r="S44" s="4"/>
      <c r="T44" s="4"/>
      <c r="U44" s="4"/>
      <c r="V44" s="4"/>
      <c r="W44" s="4"/>
    </row>
    <row r="45" spans="1:23" ht="12.75">
      <c r="A45" s="4">
        <v>50</v>
      </c>
      <c r="B45" s="4">
        <v>0</v>
      </c>
      <c r="C45" s="4">
        <v>0</v>
      </c>
      <c r="D45" s="4">
        <v>1</v>
      </c>
      <c r="E45" s="4">
        <v>229</v>
      </c>
      <c r="F45" s="4">
        <f>ROUND(Source!AZ34,O45)</f>
        <v>0</v>
      </c>
      <c r="G45" s="4" t="s">
        <v>68</v>
      </c>
      <c r="H45" s="4" t="s">
        <v>69</v>
      </c>
      <c r="I45" s="4"/>
      <c r="J45" s="4"/>
      <c r="K45" s="4">
        <v>229</v>
      </c>
      <c r="L45" s="4">
        <v>10</v>
      </c>
      <c r="M45" s="4">
        <v>3</v>
      </c>
      <c r="N45" s="4" t="s">
        <v>3</v>
      </c>
      <c r="O45" s="4">
        <v>1</v>
      </c>
      <c r="P45" s="4"/>
      <c r="Q45" s="4"/>
      <c r="R45" s="4"/>
      <c r="S45" s="4"/>
      <c r="T45" s="4"/>
      <c r="U45" s="4"/>
      <c r="V45" s="4"/>
      <c r="W45" s="4"/>
    </row>
    <row r="46" spans="1:23" ht="12.75">
      <c r="A46" s="4">
        <v>50</v>
      </c>
      <c r="B46" s="4">
        <v>0</v>
      </c>
      <c r="C46" s="4">
        <v>0</v>
      </c>
      <c r="D46" s="4">
        <v>1</v>
      </c>
      <c r="E46" s="4">
        <v>203</v>
      </c>
      <c r="F46" s="4">
        <f>ROUND(Source!Q34,O46)</f>
        <v>519.8</v>
      </c>
      <c r="G46" s="4" t="s">
        <v>70</v>
      </c>
      <c r="H46" s="4" t="s">
        <v>71</v>
      </c>
      <c r="I46" s="4"/>
      <c r="J46" s="4"/>
      <c r="K46" s="4">
        <v>203</v>
      </c>
      <c r="L46" s="4">
        <v>11</v>
      </c>
      <c r="M46" s="4">
        <v>3</v>
      </c>
      <c r="N46" s="4" t="s">
        <v>3</v>
      </c>
      <c r="O46" s="4">
        <v>1</v>
      </c>
      <c r="P46" s="4"/>
      <c r="Q46" s="4"/>
      <c r="R46" s="4"/>
      <c r="S46" s="4"/>
      <c r="T46" s="4"/>
      <c r="U46" s="4"/>
      <c r="V46" s="4"/>
      <c r="W46" s="4"/>
    </row>
    <row r="47" spans="1:23" ht="12.75">
      <c r="A47" s="4">
        <v>50</v>
      </c>
      <c r="B47" s="4">
        <v>0</v>
      </c>
      <c r="C47" s="4">
        <v>0</v>
      </c>
      <c r="D47" s="4">
        <v>1</v>
      </c>
      <c r="E47" s="4">
        <v>231</v>
      </c>
      <c r="F47" s="4">
        <f>ROUND(Source!BB34,O47)</f>
        <v>0</v>
      </c>
      <c r="G47" s="4" t="s">
        <v>72</v>
      </c>
      <c r="H47" s="4" t="s">
        <v>73</v>
      </c>
      <c r="I47" s="4"/>
      <c r="J47" s="4"/>
      <c r="K47" s="4">
        <v>231</v>
      </c>
      <c r="L47" s="4">
        <v>12</v>
      </c>
      <c r="M47" s="4">
        <v>3</v>
      </c>
      <c r="N47" s="4" t="s">
        <v>3</v>
      </c>
      <c r="O47" s="4">
        <v>1</v>
      </c>
      <c r="P47" s="4"/>
      <c r="Q47" s="4"/>
      <c r="R47" s="4"/>
      <c r="S47" s="4"/>
      <c r="T47" s="4"/>
      <c r="U47" s="4"/>
      <c r="V47" s="4"/>
      <c r="W47" s="4"/>
    </row>
    <row r="48" spans="1:23" ht="12.75">
      <c r="A48" s="4">
        <v>50</v>
      </c>
      <c r="B48" s="4">
        <v>0</v>
      </c>
      <c r="C48" s="4">
        <v>0</v>
      </c>
      <c r="D48" s="4">
        <v>1</v>
      </c>
      <c r="E48" s="4">
        <v>204</v>
      </c>
      <c r="F48" s="4">
        <f>ROUND(Source!R34,O48)</f>
        <v>0</v>
      </c>
      <c r="G48" s="4" t="s">
        <v>74</v>
      </c>
      <c r="H48" s="4" t="s">
        <v>75</v>
      </c>
      <c r="I48" s="4"/>
      <c r="J48" s="4"/>
      <c r="K48" s="4">
        <v>204</v>
      </c>
      <c r="L48" s="4">
        <v>13</v>
      </c>
      <c r="M48" s="4">
        <v>3</v>
      </c>
      <c r="N48" s="4" t="s">
        <v>3</v>
      </c>
      <c r="O48" s="4">
        <v>1</v>
      </c>
      <c r="P48" s="4"/>
      <c r="Q48" s="4"/>
      <c r="R48" s="4"/>
      <c r="S48" s="4"/>
      <c r="T48" s="4"/>
      <c r="U48" s="4"/>
      <c r="V48" s="4"/>
      <c r="W48" s="4"/>
    </row>
    <row r="49" spans="1:23" ht="12.75">
      <c r="A49" s="4">
        <v>50</v>
      </c>
      <c r="B49" s="4">
        <v>0</v>
      </c>
      <c r="C49" s="4">
        <v>0</v>
      </c>
      <c r="D49" s="4">
        <v>1</v>
      </c>
      <c r="E49" s="4">
        <v>205</v>
      </c>
      <c r="F49" s="4">
        <f>ROUND(Source!S34,O49)</f>
        <v>2485.4</v>
      </c>
      <c r="G49" s="4" t="s">
        <v>76</v>
      </c>
      <c r="H49" s="4" t="s">
        <v>77</v>
      </c>
      <c r="I49" s="4"/>
      <c r="J49" s="4"/>
      <c r="K49" s="4">
        <v>205</v>
      </c>
      <c r="L49" s="4">
        <v>14</v>
      </c>
      <c r="M49" s="4">
        <v>3</v>
      </c>
      <c r="N49" s="4" t="s">
        <v>3</v>
      </c>
      <c r="O49" s="4">
        <v>1</v>
      </c>
      <c r="P49" s="4"/>
      <c r="Q49" s="4"/>
      <c r="R49" s="4"/>
      <c r="S49" s="4"/>
      <c r="T49" s="4"/>
      <c r="U49" s="4"/>
      <c r="V49" s="4"/>
      <c r="W49" s="4"/>
    </row>
    <row r="50" spans="1:23" ht="12.75">
      <c r="A50" s="4">
        <v>50</v>
      </c>
      <c r="B50" s="4">
        <v>0</v>
      </c>
      <c r="C50" s="4">
        <v>0</v>
      </c>
      <c r="D50" s="4">
        <v>1</v>
      </c>
      <c r="E50" s="4">
        <v>232</v>
      </c>
      <c r="F50" s="4">
        <f>ROUND(Source!BC34,O50)</f>
        <v>0</v>
      </c>
      <c r="G50" s="4" t="s">
        <v>78</v>
      </c>
      <c r="H50" s="4" t="s">
        <v>79</v>
      </c>
      <c r="I50" s="4"/>
      <c r="J50" s="4"/>
      <c r="K50" s="4">
        <v>232</v>
      </c>
      <c r="L50" s="4">
        <v>15</v>
      </c>
      <c r="M50" s="4">
        <v>3</v>
      </c>
      <c r="N50" s="4" t="s">
        <v>3</v>
      </c>
      <c r="O50" s="4">
        <v>1</v>
      </c>
      <c r="P50" s="4"/>
      <c r="Q50" s="4"/>
      <c r="R50" s="4"/>
      <c r="S50" s="4"/>
      <c r="T50" s="4"/>
      <c r="U50" s="4"/>
      <c r="V50" s="4"/>
      <c r="W50" s="4"/>
    </row>
    <row r="51" spans="1:23" ht="12.75">
      <c r="A51" s="4">
        <v>50</v>
      </c>
      <c r="B51" s="4">
        <v>0</v>
      </c>
      <c r="C51" s="4">
        <v>0</v>
      </c>
      <c r="D51" s="4">
        <v>1</v>
      </c>
      <c r="E51" s="4">
        <v>214</v>
      </c>
      <c r="F51" s="4">
        <f>ROUND(Source!AS34,O51)</f>
        <v>3828.9</v>
      </c>
      <c r="G51" s="4" t="s">
        <v>80</v>
      </c>
      <c r="H51" s="4" t="s">
        <v>81</v>
      </c>
      <c r="I51" s="4"/>
      <c r="J51" s="4"/>
      <c r="K51" s="4">
        <v>214</v>
      </c>
      <c r="L51" s="4">
        <v>16</v>
      </c>
      <c r="M51" s="4">
        <v>3</v>
      </c>
      <c r="N51" s="4" t="s">
        <v>3</v>
      </c>
      <c r="O51" s="4">
        <v>1</v>
      </c>
      <c r="P51" s="4"/>
      <c r="Q51" s="4"/>
      <c r="R51" s="4"/>
      <c r="S51" s="4"/>
      <c r="T51" s="4"/>
      <c r="U51" s="4"/>
      <c r="V51" s="4"/>
      <c r="W51" s="4"/>
    </row>
    <row r="52" spans="1:23" ht="12.75">
      <c r="A52" s="4">
        <v>50</v>
      </c>
      <c r="B52" s="4">
        <v>0</v>
      </c>
      <c r="C52" s="4">
        <v>0</v>
      </c>
      <c r="D52" s="4">
        <v>1</v>
      </c>
      <c r="E52" s="4">
        <v>215</v>
      </c>
      <c r="F52" s="4">
        <f>ROUND(Source!AT34,O52)</f>
        <v>0</v>
      </c>
      <c r="G52" s="4" t="s">
        <v>82</v>
      </c>
      <c r="H52" s="4" t="s">
        <v>83</v>
      </c>
      <c r="I52" s="4"/>
      <c r="J52" s="4"/>
      <c r="K52" s="4">
        <v>215</v>
      </c>
      <c r="L52" s="4">
        <v>17</v>
      </c>
      <c r="M52" s="4">
        <v>3</v>
      </c>
      <c r="N52" s="4" t="s">
        <v>3</v>
      </c>
      <c r="O52" s="4">
        <v>1</v>
      </c>
      <c r="P52" s="4"/>
      <c r="Q52" s="4"/>
      <c r="R52" s="4"/>
      <c r="S52" s="4"/>
      <c r="T52" s="4"/>
      <c r="U52" s="4"/>
      <c r="V52" s="4"/>
      <c r="W52" s="4"/>
    </row>
    <row r="53" spans="1:23" ht="12.75">
      <c r="A53" s="4">
        <v>50</v>
      </c>
      <c r="B53" s="4">
        <v>0</v>
      </c>
      <c r="C53" s="4">
        <v>0</v>
      </c>
      <c r="D53" s="4">
        <v>1</v>
      </c>
      <c r="E53" s="4">
        <v>217</v>
      </c>
      <c r="F53" s="4">
        <f>ROUND(Source!AU34,O53)</f>
        <v>0</v>
      </c>
      <c r="G53" s="4" t="s">
        <v>84</v>
      </c>
      <c r="H53" s="4" t="s">
        <v>85</v>
      </c>
      <c r="I53" s="4"/>
      <c r="J53" s="4"/>
      <c r="K53" s="4">
        <v>217</v>
      </c>
      <c r="L53" s="4">
        <v>18</v>
      </c>
      <c r="M53" s="4">
        <v>3</v>
      </c>
      <c r="N53" s="4" t="s">
        <v>3</v>
      </c>
      <c r="O53" s="4">
        <v>1</v>
      </c>
      <c r="P53" s="4"/>
      <c r="Q53" s="4"/>
      <c r="R53" s="4"/>
      <c r="S53" s="4"/>
      <c r="T53" s="4"/>
      <c r="U53" s="4"/>
      <c r="V53" s="4"/>
      <c r="W53" s="4"/>
    </row>
    <row r="54" spans="1:23" ht="12.75">
      <c r="A54" s="4">
        <v>50</v>
      </c>
      <c r="B54" s="4">
        <v>0</v>
      </c>
      <c r="C54" s="4">
        <v>0</v>
      </c>
      <c r="D54" s="4">
        <v>1</v>
      </c>
      <c r="E54" s="4">
        <v>230</v>
      </c>
      <c r="F54" s="4">
        <f>ROUND(Source!BA34,O54)</f>
        <v>0</v>
      </c>
      <c r="G54" s="4" t="s">
        <v>86</v>
      </c>
      <c r="H54" s="4" t="s">
        <v>87</v>
      </c>
      <c r="I54" s="4"/>
      <c r="J54" s="4"/>
      <c r="K54" s="4">
        <v>230</v>
      </c>
      <c r="L54" s="4">
        <v>19</v>
      </c>
      <c r="M54" s="4">
        <v>3</v>
      </c>
      <c r="N54" s="4" t="s">
        <v>3</v>
      </c>
      <c r="O54" s="4">
        <v>1</v>
      </c>
      <c r="P54" s="4"/>
      <c r="Q54" s="4"/>
      <c r="R54" s="4"/>
      <c r="S54" s="4"/>
      <c r="T54" s="4"/>
      <c r="U54" s="4"/>
      <c r="V54" s="4"/>
      <c r="W54" s="4"/>
    </row>
    <row r="55" spans="1:23" ht="12.75">
      <c r="A55" s="4">
        <v>50</v>
      </c>
      <c r="B55" s="4">
        <v>0</v>
      </c>
      <c r="C55" s="4">
        <v>0</v>
      </c>
      <c r="D55" s="4">
        <v>1</v>
      </c>
      <c r="E55" s="4">
        <v>206</v>
      </c>
      <c r="F55" s="4">
        <f>ROUND(Source!T34,O55)</f>
        <v>0</v>
      </c>
      <c r="G55" s="4" t="s">
        <v>88</v>
      </c>
      <c r="H55" s="4" t="s">
        <v>89</v>
      </c>
      <c r="I55" s="4"/>
      <c r="J55" s="4"/>
      <c r="K55" s="4">
        <v>206</v>
      </c>
      <c r="L55" s="4">
        <v>20</v>
      </c>
      <c r="M55" s="4">
        <v>3</v>
      </c>
      <c r="N55" s="4" t="s">
        <v>3</v>
      </c>
      <c r="O55" s="4">
        <v>1</v>
      </c>
      <c r="P55" s="4"/>
      <c r="Q55" s="4"/>
      <c r="R55" s="4"/>
      <c r="S55" s="4"/>
      <c r="T55" s="4"/>
      <c r="U55" s="4"/>
      <c r="V55" s="4"/>
      <c r="W55" s="4"/>
    </row>
    <row r="56" spans="1:23" ht="12.75">
      <c r="A56" s="4">
        <v>50</v>
      </c>
      <c r="B56" s="4">
        <v>0</v>
      </c>
      <c r="C56" s="4">
        <v>0</v>
      </c>
      <c r="D56" s="4">
        <v>1</v>
      </c>
      <c r="E56" s="4">
        <v>207</v>
      </c>
      <c r="F56" s="4">
        <f>Source!U34</f>
        <v>4.6514999999999995</v>
      </c>
      <c r="G56" s="4" t="s">
        <v>90</v>
      </c>
      <c r="H56" s="4" t="s">
        <v>91</v>
      </c>
      <c r="I56" s="4"/>
      <c r="J56" s="4"/>
      <c r="K56" s="4">
        <v>207</v>
      </c>
      <c r="L56" s="4">
        <v>21</v>
      </c>
      <c r="M56" s="4">
        <v>3</v>
      </c>
      <c r="N56" s="4" t="s">
        <v>3</v>
      </c>
      <c r="O56" s="4">
        <v>-1</v>
      </c>
      <c r="P56" s="4"/>
      <c r="Q56" s="4"/>
      <c r="R56" s="4"/>
      <c r="S56" s="4"/>
      <c r="T56" s="4"/>
      <c r="U56" s="4"/>
      <c r="V56" s="4"/>
      <c r="W56" s="4"/>
    </row>
    <row r="57" spans="1:23" ht="12.75">
      <c r="A57" s="4">
        <v>50</v>
      </c>
      <c r="B57" s="4">
        <v>0</v>
      </c>
      <c r="C57" s="4">
        <v>0</v>
      </c>
      <c r="D57" s="4">
        <v>1</v>
      </c>
      <c r="E57" s="4">
        <v>208</v>
      </c>
      <c r="F57" s="4">
        <f>Source!V34</f>
        <v>0</v>
      </c>
      <c r="G57" s="4" t="s">
        <v>92</v>
      </c>
      <c r="H57" s="4" t="s">
        <v>93</v>
      </c>
      <c r="I57" s="4"/>
      <c r="J57" s="4"/>
      <c r="K57" s="4">
        <v>208</v>
      </c>
      <c r="L57" s="4">
        <v>22</v>
      </c>
      <c r="M57" s="4">
        <v>3</v>
      </c>
      <c r="N57" s="4" t="s">
        <v>3</v>
      </c>
      <c r="O57" s="4">
        <v>-1</v>
      </c>
      <c r="P57" s="4"/>
      <c r="Q57" s="4"/>
      <c r="R57" s="4"/>
      <c r="S57" s="4"/>
      <c r="T57" s="4"/>
      <c r="U57" s="4"/>
      <c r="V57" s="4"/>
      <c r="W57" s="4"/>
    </row>
    <row r="58" spans="1:23" ht="12.75">
      <c r="A58" s="4">
        <v>50</v>
      </c>
      <c r="B58" s="4">
        <v>0</v>
      </c>
      <c r="C58" s="4">
        <v>0</v>
      </c>
      <c r="D58" s="4">
        <v>1</v>
      </c>
      <c r="E58" s="4">
        <v>209</v>
      </c>
      <c r="F58" s="4">
        <f>ROUND(Source!W34,O58)</f>
        <v>0</v>
      </c>
      <c r="G58" s="4" t="s">
        <v>94</v>
      </c>
      <c r="H58" s="4" t="s">
        <v>95</v>
      </c>
      <c r="I58" s="4"/>
      <c r="J58" s="4"/>
      <c r="K58" s="4">
        <v>209</v>
      </c>
      <c r="L58" s="4">
        <v>23</v>
      </c>
      <c r="M58" s="4">
        <v>3</v>
      </c>
      <c r="N58" s="4" t="s">
        <v>3</v>
      </c>
      <c r="O58" s="4">
        <v>1</v>
      </c>
      <c r="P58" s="4"/>
      <c r="Q58" s="4"/>
      <c r="R58" s="4"/>
      <c r="S58" s="4"/>
      <c r="T58" s="4"/>
      <c r="U58" s="4"/>
      <c r="V58" s="4"/>
      <c r="W58" s="4"/>
    </row>
    <row r="59" spans="1:23" ht="12.75">
      <c r="A59" s="4">
        <v>50</v>
      </c>
      <c r="B59" s="4">
        <v>0</v>
      </c>
      <c r="C59" s="4">
        <v>0</v>
      </c>
      <c r="D59" s="4">
        <v>1</v>
      </c>
      <c r="E59" s="4">
        <v>210</v>
      </c>
      <c r="F59" s="4">
        <f>ROUND(Source!X34,O59)</f>
        <v>538.6</v>
      </c>
      <c r="G59" s="4" t="s">
        <v>96</v>
      </c>
      <c r="H59" s="4" t="s">
        <v>97</v>
      </c>
      <c r="I59" s="4"/>
      <c r="J59" s="4"/>
      <c r="K59" s="4">
        <v>210</v>
      </c>
      <c r="L59" s="4">
        <v>24</v>
      </c>
      <c r="M59" s="4">
        <v>3</v>
      </c>
      <c r="N59" s="4" t="s">
        <v>3</v>
      </c>
      <c r="O59" s="4">
        <v>1</v>
      </c>
      <c r="P59" s="4"/>
      <c r="Q59" s="4"/>
      <c r="R59" s="4"/>
      <c r="S59" s="4"/>
      <c r="T59" s="4"/>
      <c r="U59" s="4"/>
      <c r="V59" s="4"/>
      <c r="W59" s="4"/>
    </row>
    <row r="60" spans="1:23" ht="12.75">
      <c r="A60" s="4">
        <v>50</v>
      </c>
      <c r="B60" s="4">
        <v>0</v>
      </c>
      <c r="C60" s="4">
        <v>0</v>
      </c>
      <c r="D60" s="4">
        <v>1</v>
      </c>
      <c r="E60" s="4">
        <v>211</v>
      </c>
      <c r="F60" s="4">
        <f>ROUND(Source!Y34,O60)</f>
        <v>285.1</v>
      </c>
      <c r="G60" s="4" t="s">
        <v>98</v>
      </c>
      <c r="H60" s="4" t="s">
        <v>99</v>
      </c>
      <c r="I60" s="4"/>
      <c r="J60" s="4"/>
      <c r="K60" s="4">
        <v>211</v>
      </c>
      <c r="L60" s="4">
        <v>25</v>
      </c>
      <c r="M60" s="4">
        <v>3</v>
      </c>
      <c r="N60" s="4" t="s">
        <v>3</v>
      </c>
      <c r="O60" s="4">
        <v>1</v>
      </c>
      <c r="P60" s="4"/>
      <c r="Q60" s="4"/>
      <c r="R60" s="4"/>
      <c r="S60" s="4"/>
      <c r="T60" s="4"/>
      <c r="U60" s="4"/>
      <c r="V60" s="4"/>
      <c r="W60" s="4"/>
    </row>
    <row r="61" spans="1:23" ht="12.75">
      <c r="A61" s="4">
        <v>50</v>
      </c>
      <c r="B61" s="4">
        <v>0</v>
      </c>
      <c r="C61" s="4">
        <v>0</v>
      </c>
      <c r="D61" s="4">
        <v>1</v>
      </c>
      <c r="E61" s="4">
        <v>224</v>
      </c>
      <c r="F61" s="4">
        <f>ROUND(Source!AR34,O61)</f>
        <v>3828.9</v>
      </c>
      <c r="G61" s="4" t="s">
        <v>100</v>
      </c>
      <c r="H61" s="4" t="s">
        <v>101</v>
      </c>
      <c r="I61" s="4"/>
      <c r="J61" s="4"/>
      <c r="K61" s="4">
        <v>224</v>
      </c>
      <c r="L61" s="4">
        <v>26</v>
      </c>
      <c r="M61" s="4">
        <v>3</v>
      </c>
      <c r="N61" s="4" t="s">
        <v>3</v>
      </c>
      <c r="O61" s="4">
        <v>1</v>
      </c>
      <c r="P61" s="4"/>
      <c r="Q61" s="4"/>
      <c r="R61" s="4"/>
      <c r="S61" s="4"/>
      <c r="T61" s="4"/>
      <c r="U61" s="4"/>
      <c r="V61" s="4"/>
      <c r="W61" s="4"/>
    </row>
    <row r="63" spans="1:88" ht="12.75">
      <c r="A63" s="1">
        <v>4</v>
      </c>
      <c r="B63" s="1">
        <v>1</v>
      </c>
      <c r="C63" s="1"/>
      <c r="D63" s="1">
        <f>ROW(A77)</f>
        <v>77</v>
      </c>
      <c r="E63" s="1"/>
      <c r="F63" s="1" t="s">
        <v>20</v>
      </c>
      <c r="G63" s="1" t="s">
        <v>102</v>
      </c>
      <c r="H63" s="1" t="s">
        <v>3</v>
      </c>
      <c r="I63" s="1">
        <v>0</v>
      </c>
      <c r="J63" s="1"/>
      <c r="K63" s="1">
        <v>0</v>
      </c>
      <c r="L63" s="1"/>
      <c r="M63" s="1"/>
      <c r="N63" s="1"/>
      <c r="O63" s="1"/>
      <c r="P63" s="1"/>
      <c r="Q63" s="1"/>
      <c r="R63" s="1"/>
      <c r="S63" s="1"/>
      <c r="T63" s="1"/>
      <c r="U63" s="1" t="s">
        <v>3</v>
      </c>
      <c r="V63" s="1">
        <v>0</v>
      </c>
      <c r="W63" s="1"/>
      <c r="X63" s="1"/>
      <c r="Y63" s="1"/>
      <c r="Z63" s="1"/>
      <c r="AA63" s="1"/>
      <c r="AB63" s="1" t="s">
        <v>3</v>
      </c>
      <c r="AC63" s="1" t="s">
        <v>3</v>
      </c>
      <c r="AD63" s="1" t="s">
        <v>3</v>
      </c>
      <c r="AE63" s="1" t="s">
        <v>3</v>
      </c>
      <c r="AF63" s="1" t="s">
        <v>3</v>
      </c>
      <c r="AG63" s="1" t="s">
        <v>3</v>
      </c>
      <c r="AH63" s="1"/>
      <c r="AI63" s="1"/>
      <c r="AJ63" s="1"/>
      <c r="AK63" s="1"/>
      <c r="AL63" s="1"/>
      <c r="AM63" s="1"/>
      <c r="AN63" s="1"/>
      <c r="AO63" s="1"/>
      <c r="AP63" s="1" t="s">
        <v>3</v>
      </c>
      <c r="AQ63" s="1" t="s">
        <v>3</v>
      </c>
      <c r="AR63" s="1" t="s">
        <v>3</v>
      </c>
      <c r="AS63" s="1"/>
      <c r="AT63" s="1"/>
      <c r="AU63" s="1"/>
      <c r="AV63" s="1"/>
      <c r="AW63" s="1"/>
      <c r="AX63" s="1"/>
      <c r="AY63" s="1"/>
      <c r="AZ63" s="1" t="s">
        <v>3</v>
      </c>
      <c r="BA63" s="1"/>
      <c r="BB63" s="1" t="s">
        <v>3</v>
      </c>
      <c r="BC63" s="1" t="s">
        <v>3</v>
      </c>
      <c r="BD63" s="1" t="s">
        <v>3</v>
      </c>
      <c r="BE63" s="1" t="s">
        <v>3</v>
      </c>
      <c r="BF63" s="1" t="s">
        <v>3</v>
      </c>
      <c r="BG63" s="1" t="s">
        <v>3</v>
      </c>
      <c r="BH63" s="1" t="s">
        <v>3</v>
      </c>
      <c r="BI63" s="1" t="s">
        <v>3</v>
      </c>
      <c r="BJ63" s="1" t="s">
        <v>3</v>
      </c>
      <c r="BK63" s="1" t="s">
        <v>3</v>
      </c>
      <c r="BL63" s="1" t="s">
        <v>3</v>
      </c>
      <c r="BM63" s="1" t="s">
        <v>3</v>
      </c>
      <c r="BN63" s="1" t="s">
        <v>3</v>
      </c>
      <c r="BO63" s="1" t="s">
        <v>3</v>
      </c>
      <c r="BP63" s="1" t="s">
        <v>3</v>
      </c>
      <c r="BQ63" s="1"/>
      <c r="BR63" s="1"/>
      <c r="BS63" s="1"/>
      <c r="BT63" s="1"/>
      <c r="BU63" s="1"/>
      <c r="BV63" s="1"/>
      <c r="BW63" s="1"/>
      <c r="BX63" s="1">
        <v>0</v>
      </c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>
        <v>0</v>
      </c>
    </row>
    <row r="65" spans="1:206" ht="12.75">
      <c r="A65" s="2">
        <v>52</v>
      </c>
      <c r="B65" s="2">
        <f aca="true" t="shared" si="26" ref="B65:G65">B77</f>
        <v>1</v>
      </c>
      <c r="C65" s="2">
        <f t="shared" si="26"/>
        <v>4</v>
      </c>
      <c r="D65" s="2">
        <f t="shared" si="26"/>
        <v>63</v>
      </c>
      <c r="E65" s="2">
        <f t="shared" si="26"/>
        <v>0</v>
      </c>
      <c r="F65" s="2" t="str">
        <f t="shared" si="26"/>
        <v>Новый раздел</v>
      </c>
      <c r="G65" s="2" t="str">
        <f t="shared" si="26"/>
        <v>Разработка котлована под ТП -117,9 м3. Обратная засыпка песком с послойной трамбовкой -38,9 м3</v>
      </c>
      <c r="H65" s="2"/>
      <c r="I65" s="2"/>
      <c r="J65" s="2"/>
      <c r="K65" s="2"/>
      <c r="L65" s="2"/>
      <c r="M65" s="2"/>
      <c r="N65" s="2"/>
      <c r="O65" s="2">
        <f aca="true" t="shared" si="27" ref="O65:AT65">O77</f>
        <v>46477.2</v>
      </c>
      <c r="P65" s="2">
        <f t="shared" si="27"/>
        <v>12203.9</v>
      </c>
      <c r="Q65" s="2">
        <f t="shared" si="27"/>
        <v>20001.4</v>
      </c>
      <c r="R65" s="2">
        <f t="shared" si="27"/>
        <v>1861.2</v>
      </c>
      <c r="S65" s="2">
        <f t="shared" si="27"/>
        <v>14271.9</v>
      </c>
      <c r="T65" s="2">
        <f t="shared" si="27"/>
        <v>0</v>
      </c>
      <c r="U65" s="2">
        <f t="shared" si="27"/>
        <v>92.0267716</v>
      </c>
      <c r="V65" s="2">
        <f t="shared" si="27"/>
        <v>7.276088400000001</v>
      </c>
      <c r="W65" s="2">
        <f t="shared" si="27"/>
        <v>0</v>
      </c>
      <c r="X65" s="2">
        <f t="shared" si="27"/>
        <v>11365.3</v>
      </c>
      <c r="Y65" s="2">
        <f t="shared" si="27"/>
        <v>5929.3</v>
      </c>
      <c r="Z65" s="2">
        <f t="shared" si="27"/>
        <v>0</v>
      </c>
      <c r="AA65" s="2">
        <f t="shared" si="27"/>
        <v>0</v>
      </c>
      <c r="AB65" s="2">
        <f t="shared" si="27"/>
        <v>46477.2</v>
      </c>
      <c r="AC65" s="2">
        <f t="shared" si="27"/>
        <v>12203.9</v>
      </c>
      <c r="AD65" s="2">
        <f t="shared" si="27"/>
        <v>20001.4</v>
      </c>
      <c r="AE65" s="2">
        <f t="shared" si="27"/>
        <v>1861.2</v>
      </c>
      <c r="AF65" s="2">
        <f t="shared" si="27"/>
        <v>14271.9</v>
      </c>
      <c r="AG65" s="2">
        <f t="shared" si="27"/>
        <v>0</v>
      </c>
      <c r="AH65" s="2">
        <f t="shared" si="27"/>
        <v>92.0267716</v>
      </c>
      <c r="AI65" s="2">
        <f t="shared" si="27"/>
        <v>7.276088400000001</v>
      </c>
      <c r="AJ65" s="2">
        <f t="shared" si="27"/>
        <v>0</v>
      </c>
      <c r="AK65" s="2">
        <f t="shared" si="27"/>
        <v>11365.3</v>
      </c>
      <c r="AL65" s="2">
        <f t="shared" si="27"/>
        <v>5929.3</v>
      </c>
      <c r="AM65" s="2">
        <f t="shared" si="27"/>
        <v>0</v>
      </c>
      <c r="AN65" s="2">
        <f t="shared" si="27"/>
        <v>0</v>
      </c>
      <c r="AO65" s="2">
        <f t="shared" si="27"/>
        <v>0</v>
      </c>
      <c r="AP65" s="2">
        <f t="shared" si="27"/>
        <v>0</v>
      </c>
      <c r="AQ65" s="2">
        <f t="shared" si="27"/>
        <v>0</v>
      </c>
      <c r="AR65" s="2">
        <f t="shared" si="27"/>
        <v>63771.8</v>
      </c>
      <c r="AS65" s="2">
        <f t="shared" si="27"/>
        <v>63771.8</v>
      </c>
      <c r="AT65" s="2">
        <f t="shared" si="27"/>
        <v>0</v>
      </c>
      <c r="AU65" s="2">
        <f aca="true" t="shared" si="28" ref="AU65:BZ65">AU77</f>
        <v>0</v>
      </c>
      <c r="AV65" s="2">
        <f t="shared" si="28"/>
        <v>12203.9</v>
      </c>
      <c r="AW65" s="2">
        <f t="shared" si="28"/>
        <v>12203.9</v>
      </c>
      <c r="AX65" s="2">
        <f t="shared" si="28"/>
        <v>0</v>
      </c>
      <c r="AY65" s="2">
        <f t="shared" si="28"/>
        <v>12203.9</v>
      </c>
      <c r="AZ65" s="2">
        <f t="shared" si="28"/>
        <v>0</v>
      </c>
      <c r="BA65" s="2">
        <f t="shared" si="28"/>
        <v>0</v>
      </c>
      <c r="BB65" s="2">
        <f t="shared" si="28"/>
        <v>0</v>
      </c>
      <c r="BC65" s="2">
        <f t="shared" si="28"/>
        <v>0</v>
      </c>
      <c r="BD65" s="2">
        <f t="shared" si="28"/>
        <v>0</v>
      </c>
      <c r="BE65" s="2">
        <f t="shared" si="28"/>
        <v>0</v>
      </c>
      <c r="BF65" s="2">
        <f t="shared" si="28"/>
        <v>0</v>
      </c>
      <c r="BG65" s="2">
        <f t="shared" si="28"/>
        <v>0</v>
      </c>
      <c r="BH65" s="2">
        <f t="shared" si="28"/>
        <v>0</v>
      </c>
      <c r="BI65" s="2">
        <f t="shared" si="28"/>
        <v>0</v>
      </c>
      <c r="BJ65" s="2">
        <f t="shared" si="28"/>
        <v>0</v>
      </c>
      <c r="BK65" s="2">
        <f t="shared" si="28"/>
        <v>0</v>
      </c>
      <c r="BL65" s="2">
        <f t="shared" si="28"/>
        <v>0</v>
      </c>
      <c r="BM65" s="2">
        <f t="shared" si="28"/>
        <v>0</v>
      </c>
      <c r="BN65" s="2">
        <f t="shared" si="28"/>
        <v>0</v>
      </c>
      <c r="BO65" s="2">
        <f t="shared" si="28"/>
        <v>0</v>
      </c>
      <c r="BP65" s="2">
        <f t="shared" si="28"/>
        <v>0</v>
      </c>
      <c r="BQ65" s="2">
        <f t="shared" si="28"/>
        <v>0</v>
      </c>
      <c r="BR65" s="2">
        <f t="shared" si="28"/>
        <v>0</v>
      </c>
      <c r="BS65" s="2">
        <f t="shared" si="28"/>
        <v>0</v>
      </c>
      <c r="BT65" s="2">
        <f t="shared" si="28"/>
        <v>0</v>
      </c>
      <c r="BU65" s="2">
        <f t="shared" si="28"/>
        <v>0</v>
      </c>
      <c r="BV65" s="2">
        <f t="shared" si="28"/>
        <v>0</v>
      </c>
      <c r="BW65" s="2">
        <f t="shared" si="28"/>
        <v>0</v>
      </c>
      <c r="BX65" s="2">
        <f t="shared" si="28"/>
        <v>0</v>
      </c>
      <c r="BY65" s="2">
        <f t="shared" si="28"/>
        <v>0</v>
      </c>
      <c r="BZ65" s="2">
        <f t="shared" si="28"/>
        <v>0</v>
      </c>
      <c r="CA65" s="2">
        <f aca="true" t="shared" si="29" ref="CA65:DF65">CA77</f>
        <v>63771.8</v>
      </c>
      <c r="CB65" s="2">
        <f t="shared" si="29"/>
        <v>63771.8</v>
      </c>
      <c r="CC65" s="2">
        <f t="shared" si="29"/>
        <v>0</v>
      </c>
      <c r="CD65" s="2">
        <f t="shared" si="29"/>
        <v>0</v>
      </c>
      <c r="CE65" s="2">
        <f t="shared" si="29"/>
        <v>12203.9</v>
      </c>
      <c r="CF65" s="2">
        <f t="shared" si="29"/>
        <v>12203.9</v>
      </c>
      <c r="CG65" s="2">
        <f t="shared" si="29"/>
        <v>0</v>
      </c>
      <c r="CH65" s="2">
        <f t="shared" si="29"/>
        <v>12203.9</v>
      </c>
      <c r="CI65" s="2">
        <f t="shared" si="29"/>
        <v>0</v>
      </c>
      <c r="CJ65" s="2">
        <f t="shared" si="29"/>
        <v>0</v>
      </c>
      <c r="CK65" s="2">
        <f t="shared" si="29"/>
        <v>0</v>
      </c>
      <c r="CL65" s="2">
        <f t="shared" si="29"/>
        <v>0</v>
      </c>
      <c r="CM65" s="2">
        <f t="shared" si="29"/>
        <v>0</v>
      </c>
      <c r="CN65" s="2">
        <f t="shared" si="29"/>
        <v>0</v>
      </c>
      <c r="CO65" s="2">
        <f t="shared" si="29"/>
        <v>0</v>
      </c>
      <c r="CP65" s="2">
        <f t="shared" si="29"/>
        <v>0</v>
      </c>
      <c r="CQ65" s="2">
        <f t="shared" si="29"/>
        <v>0</v>
      </c>
      <c r="CR65" s="2">
        <f t="shared" si="29"/>
        <v>0</v>
      </c>
      <c r="CS65" s="2">
        <f t="shared" si="29"/>
        <v>0</v>
      </c>
      <c r="CT65" s="2">
        <f t="shared" si="29"/>
        <v>0</v>
      </c>
      <c r="CU65" s="2">
        <f t="shared" si="29"/>
        <v>0</v>
      </c>
      <c r="CV65" s="2">
        <f t="shared" si="29"/>
        <v>0</v>
      </c>
      <c r="CW65" s="2">
        <f t="shared" si="29"/>
        <v>0</v>
      </c>
      <c r="CX65" s="2">
        <f t="shared" si="29"/>
        <v>0</v>
      </c>
      <c r="CY65" s="2">
        <f t="shared" si="29"/>
        <v>0</v>
      </c>
      <c r="CZ65" s="2">
        <f t="shared" si="29"/>
        <v>0</v>
      </c>
      <c r="DA65" s="2">
        <f t="shared" si="29"/>
        <v>0</v>
      </c>
      <c r="DB65" s="2">
        <f t="shared" si="29"/>
        <v>0</v>
      </c>
      <c r="DC65" s="2">
        <f t="shared" si="29"/>
        <v>0</v>
      </c>
      <c r="DD65" s="2">
        <f t="shared" si="29"/>
        <v>0</v>
      </c>
      <c r="DE65" s="2">
        <f t="shared" si="29"/>
        <v>0</v>
      </c>
      <c r="DF65" s="2">
        <f t="shared" si="29"/>
        <v>0</v>
      </c>
      <c r="DG65" s="3">
        <f aca="true" t="shared" si="30" ref="DG65:EL65">DG77</f>
        <v>0</v>
      </c>
      <c r="DH65" s="3">
        <f t="shared" si="30"/>
        <v>0</v>
      </c>
      <c r="DI65" s="3">
        <f t="shared" si="30"/>
        <v>0</v>
      </c>
      <c r="DJ65" s="3">
        <f t="shared" si="30"/>
        <v>0</v>
      </c>
      <c r="DK65" s="3">
        <f t="shared" si="30"/>
        <v>0</v>
      </c>
      <c r="DL65" s="3">
        <f t="shared" si="30"/>
        <v>0</v>
      </c>
      <c r="DM65" s="3">
        <f t="shared" si="30"/>
        <v>0</v>
      </c>
      <c r="DN65" s="3">
        <f t="shared" si="30"/>
        <v>0</v>
      </c>
      <c r="DO65" s="3">
        <f t="shared" si="30"/>
        <v>0</v>
      </c>
      <c r="DP65" s="3">
        <f t="shared" si="30"/>
        <v>0</v>
      </c>
      <c r="DQ65" s="3">
        <f t="shared" si="30"/>
        <v>0</v>
      </c>
      <c r="DR65" s="3">
        <f t="shared" si="30"/>
        <v>0</v>
      </c>
      <c r="DS65" s="3">
        <f t="shared" si="30"/>
        <v>0</v>
      </c>
      <c r="DT65" s="3">
        <f t="shared" si="30"/>
        <v>0</v>
      </c>
      <c r="DU65" s="3">
        <f t="shared" si="30"/>
        <v>0</v>
      </c>
      <c r="DV65" s="3">
        <f t="shared" si="30"/>
        <v>0</v>
      </c>
      <c r="DW65" s="3">
        <f t="shared" si="30"/>
        <v>0</v>
      </c>
      <c r="DX65" s="3">
        <f t="shared" si="30"/>
        <v>0</v>
      </c>
      <c r="DY65" s="3">
        <f t="shared" si="30"/>
        <v>0</v>
      </c>
      <c r="DZ65" s="3">
        <f t="shared" si="30"/>
        <v>0</v>
      </c>
      <c r="EA65" s="3">
        <f t="shared" si="30"/>
        <v>0</v>
      </c>
      <c r="EB65" s="3">
        <f t="shared" si="30"/>
        <v>0</v>
      </c>
      <c r="EC65" s="3">
        <f t="shared" si="30"/>
        <v>0</v>
      </c>
      <c r="ED65" s="3">
        <f t="shared" si="30"/>
        <v>0</v>
      </c>
      <c r="EE65" s="3">
        <f t="shared" si="30"/>
        <v>0</v>
      </c>
      <c r="EF65" s="3">
        <f t="shared" si="30"/>
        <v>0</v>
      </c>
      <c r="EG65" s="3">
        <f t="shared" si="30"/>
        <v>0</v>
      </c>
      <c r="EH65" s="3">
        <f t="shared" si="30"/>
        <v>0</v>
      </c>
      <c r="EI65" s="3">
        <f t="shared" si="30"/>
        <v>0</v>
      </c>
      <c r="EJ65" s="3">
        <f t="shared" si="30"/>
        <v>0</v>
      </c>
      <c r="EK65" s="3">
        <f t="shared" si="30"/>
        <v>0</v>
      </c>
      <c r="EL65" s="3">
        <f t="shared" si="30"/>
        <v>0</v>
      </c>
      <c r="EM65" s="3">
        <f aca="true" t="shared" si="31" ref="EM65:FR65">EM77</f>
        <v>0</v>
      </c>
      <c r="EN65" s="3">
        <f t="shared" si="31"/>
        <v>0</v>
      </c>
      <c r="EO65" s="3">
        <f t="shared" si="31"/>
        <v>0</v>
      </c>
      <c r="EP65" s="3">
        <f t="shared" si="31"/>
        <v>0</v>
      </c>
      <c r="EQ65" s="3">
        <f t="shared" si="31"/>
        <v>0</v>
      </c>
      <c r="ER65" s="3">
        <f t="shared" si="31"/>
        <v>0</v>
      </c>
      <c r="ES65" s="3">
        <f t="shared" si="31"/>
        <v>0</v>
      </c>
      <c r="ET65" s="3">
        <f t="shared" si="31"/>
        <v>0</v>
      </c>
      <c r="EU65" s="3">
        <f t="shared" si="31"/>
        <v>0</v>
      </c>
      <c r="EV65" s="3">
        <f t="shared" si="31"/>
        <v>0</v>
      </c>
      <c r="EW65" s="3">
        <f t="shared" si="31"/>
        <v>0</v>
      </c>
      <c r="EX65" s="3">
        <f t="shared" si="31"/>
        <v>0</v>
      </c>
      <c r="EY65" s="3">
        <f t="shared" si="31"/>
        <v>0</v>
      </c>
      <c r="EZ65" s="3">
        <f t="shared" si="31"/>
        <v>0</v>
      </c>
      <c r="FA65" s="3">
        <f t="shared" si="31"/>
        <v>0</v>
      </c>
      <c r="FB65" s="3">
        <f t="shared" si="31"/>
        <v>0</v>
      </c>
      <c r="FC65" s="3">
        <f t="shared" si="31"/>
        <v>0</v>
      </c>
      <c r="FD65" s="3">
        <f t="shared" si="31"/>
        <v>0</v>
      </c>
      <c r="FE65" s="3">
        <f t="shared" si="31"/>
        <v>0</v>
      </c>
      <c r="FF65" s="3">
        <f t="shared" si="31"/>
        <v>0</v>
      </c>
      <c r="FG65" s="3">
        <f t="shared" si="31"/>
        <v>0</v>
      </c>
      <c r="FH65" s="3">
        <f t="shared" si="31"/>
        <v>0</v>
      </c>
      <c r="FI65" s="3">
        <f t="shared" si="31"/>
        <v>0</v>
      </c>
      <c r="FJ65" s="3">
        <f t="shared" si="31"/>
        <v>0</v>
      </c>
      <c r="FK65" s="3">
        <f t="shared" si="31"/>
        <v>0</v>
      </c>
      <c r="FL65" s="3">
        <f t="shared" si="31"/>
        <v>0</v>
      </c>
      <c r="FM65" s="3">
        <f t="shared" si="31"/>
        <v>0</v>
      </c>
      <c r="FN65" s="3">
        <f t="shared" si="31"/>
        <v>0</v>
      </c>
      <c r="FO65" s="3">
        <f t="shared" si="31"/>
        <v>0</v>
      </c>
      <c r="FP65" s="3">
        <f t="shared" si="31"/>
        <v>0</v>
      </c>
      <c r="FQ65" s="3">
        <f t="shared" si="31"/>
        <v>0</v>
      </c>
      <c r="FR65" s="3">
        <f t="shared" si="31"/>
        <v>0</v>
      </c>
      <c r="FS65" s="3">
        <f aca="true" t="shared" si="32" ref="FS65:GX65">FS77</f>
        <v>0</v>
      </c>
      <c r="FT65" s="3">
        <f t="shared" si="32"/>
        <v>0</v>
      </c>
      <c r="FU65" s="3">
        <f t="shared" si="32"/>
        <v>0</v>
      </c>
      <c r="FV65" s="3">
        <f t="shared" si="32"/>
        <v>0</v>
      </c>
      <c r="FW65" s="3">
        <f t="shared" si="32"/>
        <v>0</v>
      </c>
      <c r="FX65" s="3">
        <f t="shared" si="32"/>
        <v>0</v>
      </c>
      <c r="FY65" s="3">
        <f t="shared" si="32"/>
        <v>0</v>
      </c>
      <c r="FZ65" s="3">
        <f t="shared" si="32"/>
        <v>0</v>
      </c>
      <c r="GA65" s="3">
        <f t="shared" si="32"/>
        <v>0</v>
      </c>
      <c r="GB65" s="3">
        <f t="shared" si="32"/>
        <v>0</v>
      </c>
      <c r="GC65" s="3">
        <f t="shared" si="32"/>
        <v>0</v>
      </c>
      <c r="GD65" s="3">
        <f t="shared" si="32"/>
        <v>0</v>
      </c>
      <c r="GE65" s="3">
        <f t="shared" si="32"/>
        <v>0</v>
      </c>
      <c r="GF65" s="3">
        <f t="shared" si="32"/>
        <v>0</v>
      </c>
      <c r="GG65" s="3">
        <f t="shared" si="32"/>
        <v>0</v>
      </c>
      <c r="GH65" s="3">
        <f t="shared" si="32"/>
        <v>0</v>
      </c>
      <c r="GI65" s="3">
        <f t="shared" si="32"/>
        <v>0</v>
      </c>
      <c r="GJ65" s="3">
        <f t="shared" si="32"/>
        <v>0</v>
      </c>
      <c r="GK65" s="3">
        <f t="shared" si="32"/>
        <v>0</v>
      </c>
      <c r="GL65" s="3">
        <f t="shared" si="32"/>
        <v>0</v>
      </c>
      <c r="GM65" s="3">
        <f t="shared" si="32"/>
        <v>0</v>
      </c>
      <c r="GN65" s="3">
        <f t="shared" si="32"/>
        <v>0</v>
      </c>
      <c r="GO65" s="3">
        <f t="shared" si="32"/>
        <v>0</v>
      </c>
      <c r="GP65" s="3">
        <f t="shared" si="32"/>
        <v>0</v>
      </c>
      <c r="GQ65" s="3">
        <f t="shared" si="32"/>
        <v>0</v>
      </c>
      <c r="GR65" s="3">
        <f t="shared" si="32"/>
        <v>0</v>
      </c>
      <c r="GS65" s="3">
        <f t="shared" si="32"/>
        <v>0</v>
      </c>
      <c r="GT65" s="3">
        <f t="shared" si="32"/>
        <v>0</v>
      </c>
      <c r="GU65" s="3">
        <f t="shared" si="32"/>
        <v>0</v>
      </c>
      <c r="GV65" s="3">
        <f t="shared" si="32"/>
        <v>0</v>
      </c>
      <c r="GW65" s="3">
        <f t="shared" si="32"/>
        <v>0</v>
      </c>
      <c r="GX65" s="3">
        <f t="shared" si="32"/>
        <v>0</v>
      </c>
    </row>
    <row r="67" spans="1:245" ht="12.75">
      <c r="A67">
        <v>17</v>
      </c>
      <c r="B67">
        <v>1</v>
      </c>
      <c r="C67">
        <f>ROW(SmtRes!A6)</f>
        <v>6</v>
      </c>
      <c r="D67">
        <f>ROW(EtalonRes!A6)</f>
        <v>6</v>
      </c>
      <c r="E67" t="s">
        <v>103</v>
      </c>
      <c r="F67" t="s">
        <v>104</v>
      </c>
      <c r="G67" t="s">
        <v>105</v>
      </c>
      <c r="H67" t="s">
        <v>106</v>
      </c>
      <c r="I67">
        <f>ROUND(0.1179,3)</f>
        <v>0.118</v>
      </c>
      <c r="J67">
        <v>0</v>
      </c>
      <c r="O67">
        <f aca="true" t="shared" si="33" ref="O67:O75">ROUND(CP67,1)</f>
        <v>4189.4</v>
      </c>
      <c r="P67">
        <f aca="true" t="shared" si="34" ref="P67:P75">ROUND(CQ67*I67,1)</f>
        <v>2.9</v>
      </c>
      <c r="Q67">
        <f aca="true" t="shared" si="35" ref="Q67:Q75">ROUND(CR67*I67,1)</f>
        <v>3909.8</v>
      </c>
      <c r="R67">
        <f aca="true" t="shared" si="36" ref="R67:R75">ROUND(CS67*I67,1)</f>
        <v>1388.8</v>
      </c>
      <c r="S67">
        <f aca="true" t="shared" si="37" ref="S67:S75">ROUND(CT67*I67,1)</f>
        <v>276.7</v>
      </c>
      <c r="T67">
        <f aca="true" t="shared" si="38" ref="T67:T75">ROUND(CU67*I67,1)</f>
        <v>0</v>
      </c>
      <c r="U67">
        <f aca="true" t="shared" si="39" ref="U67:U75">CV67*I67</f>
        <v>1.7772216</v>
      </c>
      <c r="V67">
        <f aca="true" t="shared" si="40" ref="V67:V75">CW67*I67</f>
        <v>5.1540984000000005</v>
      </c>
      <c r="W67">
        <f aca="true" t="shared" si="41" ref="W67:W75">ROUND(CX67*I67,1)</f>
        <v>0</v>
      </c>
      <c r="X67">
        <f aca="true" t="shared" si="42" ref="X67:X75">ROUND(CY67,1)</f>
        <v>1349.1</v>
      </c>
      <c r="Y67">
        <f aca="true" t="shared" si="43" ref="Y67:Y75">ROUND(CZ67,1)</f>
        <v>666.2</v>
      </c>
      <c r="AA67">
        <v>42253831</v>
      </c>
      <c r="AB67">
        <f>ROUND((AC67+AD67+AF67),6)</f>
        <v>4782.0536</v>
      </c>
      <c r="AC67">
        <f aca="true" t="shared" si="44" ref="AC67:AC75">ROUND((ES67),6)</f>
        <v>4.34</v>
      </c>
      <c r="AD67">
        <f>ROUND(((((ET67*1.32))-((EU67*1.32)))+AE67),6)</f>
        <v>4660.2336</v>
      </c>
      <c r="AE67">
        <f>ROUND(((EU67*1.32)),6)</f>
        <v>589.6704</v>
      </c>
      <c r="AF67">
        <f>ROUND(((EV67*1.32)),6)</f>
        <v>117.48</v>
      </c>
      <c r="AG67">
        <f aca="true" t="shared" si="45" ref="AG67:AG75">ROUND((AP67),6)</f>
        <v>0</v>
      </c>
      <c r="AH67">
        <f>((EW67*1.32))</f>
        <v>15.061200000000001</v>
      </c>
      <c r="AI67">
        <f>((EX67*1.32))</f>
        <v>43.67880000000001</v>
      </c>
      <c r="AJ67">
        <f aca="true" t="shared" si="46" ref="AJ67:AJ75">ROUND((AS67),6)</f>
        <v>0</v>
      </c>
      <c r="AK67">
        <v>3623.82</v>
      </c>
      <c r="AL67">
        <v>4.34</v>
      </c>
      <c r="AM67">
        <v>3530.48</v>
      </c>
      <c r="AN67">
        <v>446.72</v>
      </c>
      <c r="AO67">
        <v>89</v>
      </c>
      <c r="AP67">
        <v>0</v>
      </c>
      <c r="AQ67">
        <v>11.41</v>
      </c>
      <c r="AR67">
        <v>33.09</v>
      </c>
      <c r="AS67">
        <v>0</v>
      </c>
      <c r="AT67">
        <v>81</v>
      </c>
      <c r="AU67">
        <v>40</v>
      </c>
      <c r="AV67">
        <v>1</v>
      </c>
      <c r="AW67">
        <v>1</v>
      </c>
      <c r="AZ67">
        <v>1</v>
      </c>
      <c r="BA67">
        <v>19.96</v>
      </c>
      <c r="BB67">
        <v>7.11</v>
      </c>
      <c r="BC67">
        <v>5.66</v>
      </c>
      <c r="BH67">
        <v>0</v>
      </c>
      <c r="BI67">
        <v>1</v>
      </c>
      <c r="BJ67" t="s">
        <v>107</v>
      </c>
      <c r="BM67">
        <v>1001</v>
      </c>
      <c r="BN67">
        <v>0</v>
      </c>
      <c r="BO67" t="s">
        <v>27</v>
      </c>
      <c r="BP67">
        <v>1</v>
      </c>
      <c r="BQ67">
        <v>2</v>
      </c>
      <c r="BR67">
        <v>0</v>
      </c>
      <c r="BS67">
        <v>19.96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95</v>
      </c>
      <c r="CA67">
        <v>50</v>
      </c>
      <c r="CF67">
        <v>0</v>
      </c>
      <c r="CG67">
        <v>0</v>
      </c>
      <c r="CM67">
        <v>0</v>
      </c>
      <c r="CN67" t="s">
        <v>731</v>
      </c>
      <c r="CO67">
        <v>0</v>
      </c>
      <c r="CP67">
        <f aca="true" t="shared" si="47" ref="CP67:CP75">(P67+Q67+S67)</f>
        <v>4189.400000000001</v>
      </c>
      <c r="CQ67">
        <f aca="true" t="shared" si="48" ref="CQ67:CQ75">AC67*BC67</f>
        <v>24.5644</v>
      </c>
      <c r="CR67">
        <f aca="true" t="shared" si="49" ref="CR67:CR75">AD67*BB67</f>
        <v>33134.260896</v>
      </c>
      <c r="CS67">
        <f aca="true" t="shared" si="50" ref="CS67:CS75">AE67*BS67</f>
        <v>11769.821184</v>
      </c>
      <c r="CT67">
        <f aca="true" t="shared" si="51" ref="CT67:CT75">AF67*BA67</f>
        <v>2344.9008000000003</v>
      </c>
      <c r="CU67">
        <f aca="true" t="shared" si="52" ref="CU67:CU75">AG67</f>
        <v>0</v>
      </c>
      <c r="CV67">
        <f aca="true" t="shared" si="53" ref="CV67:CV75">AH67</f>
        <v>15.061200000000001</v>
      </c>
      <c r="CW67">
        <f aca="true" t="shared" si="54" ref="CW67:CW75">AI67</f>
        <v>43.67880000000001</v>
      </c>
      <c r="CX67">
        <f aca="true" t="shared" si="55" ref="CX67:CX75">AJ67</f>
        <v>0</v>
      </c>
      <c r="CY67">
        <f>(((S67+R67)*AT67)/100)</f>
        <v>1349.055</v>
      </c>
      <c r="CZ67">
        <f>(((S67+R67)*AU67)/100)</f>
        <v>666.2</v>
      </c>
      <c r="DE67" t="s">
        <v>108</v>
      </c>
      <c r="DF67" t="s">
        <v>108</v>
      </c>
      <c r="DG67" t="s">
        <v>108</v>
      </c>
      <c r="DI67" t="s">
        <v>108</v>
      </c>
      <c r="DJ67" t="s">
        <v>108</v>
      </c>
      <c r="DN67">
        <v>0</v>
      </c>
      <c r="DO67">
        <v>0</v>
      </c>
      <c r="DP67">
        <v>1</v>
      </c>
      <c r="DQ67">
        <v>1</v>
      </c>
      <c r="DU67">
        <v>1007</v>
      </c>
      <c r="DV67" t="s">
        <v>106</v>
      </c>
      <c r="DW67" t="s">
        <v>106</v>
      </c>
      <c r="DX67">
        <v>1000</v>
      </c>
      <c r="EE67">
        <v>39125347</v>
      </c>
      <c r="EF67">
        <v>2</v>
      </c>
      <c r="EG67" t="s">
        <v>28</v>
      </c>
      <c r="EH67">
        <v>0</v>
      </c>
      <c r="EJ67">
        <v>1</v>
      </c>
      <c r="EK67">
        <v>1001</v>
      </c>
      <c r="EL67" t="s">
        <v>109</v>
      </c>
      <c r="EM67" t="s">
        <v>30</v>
      </c>
      <c r="EO67" t="s">
        <v>110</v>
      </c>
      <c r="EQ67">
        <v>0</v>
      </c>
      <c r="ER67">
        <v>3623.82</v>
      </c>
      <c r="ES67">
        <v>4.34</v>
      </c>
      <c r="ET67">
        <v>3530.48</v>
      </c>
      <c r="EU67">
        <v>446.72</v>
      </c>
      <c r="EV67">
        <v>89</v>
      </c>
      <c r="EW67">
        <v>11.41</v>
      </c>
      <c r="EX67">
        <v>33.09</v>
      </c>
      <c r="EY67">
        <v>0</v>
      </c>
      <c r="FQ67">
        <v>0</v>
      </c>
      <c r="FR67">
        <f aca="true" t="shared" si="56" ref="FR67:FR75">ROUND(IF(AND(BH67=3,BI67=3),P67,0),1)</f>
        <v>0</v>
      </c>
      <c r="FS67">
        <v>0</v>
      </c>
      <c r="FV67" t="s">
        <v>31</v>
      </c>
      <c r="FW67" t="s">
        <v>32</v>
      </c>
      <c r="FX67">
        <v>95</v>
      </c>
      <c r="FY67">
        <v>50</v>
      </c>
      <c r="GD67">
        <v>0</v>
      </c>
      <c r="GF67">
        <v>-2115362867</v>
      </c>
      <c r="GG67">
        <v>2</v>
      </c>
      <c r="GH67">
        <v>1</v>
      </c>
      <c r="GI67">
        <v>4</v>
      </c>
      <c r="GJ67">
        <v>0</v>
      </c>
      <c r="GK67">
        <f>ROUND(R67*(R12)/100,1)</f>
        <v>0</v>
      </c>
      <c r="GL67">
        <f aca="true" t="shared" si="57" ref="GL67:GL75">ROUND(IF(AND(BH67=3,BI67=3,FS67&lt;&gt;0),P67,0),1)</f>
        <v>0</v>
      </c>
      <c r="GM67">
        <f aca="true" t="shared" si="58" ref="GM67:GM75">ROUND(O67+X67+Y67+GK67,1)+GX67</f>
        <v>6204.7</v>
      </c>
      <c r="GN67">
        <f aca="true" t="shared" si="59" ref="GN67:GN75">IF(OR(BI67=0,BI67=1),GM67,0)</f>
        <v>6204.7</v>
      </c>
      <c r="GO67">
        <f aca="true" t="shared" si="60" ref="GO67:GO75">IF(BI67=2,GM67,0)</f>
        <v>0</v>
      </c>
      <c r="GP67">
        <f aca="true" t="shared" si="61" ref="GP67:GP75">IF(BI67=4,GM67,0)</f>
        <v>0</v>
      </c>
      <c r="GR67">
        <v>0</v>
      </c>
      <c r="GS67">
        <v>3</v>
      </c>
      <c r="GT67">
        <v>0</v>
      </c>
      <c r="GV67">
        <f aca="true" t="shared" si="62" ref="GV67:GV75">ROUND(GT67,6)</f>
        <v>0</v>
      </c>
      <c r="GW67">
        <v>19.96</v>
      </c>
      <c r="GX67">
        <f aca="true" t="shared" si="63" ref="GX67:GX75">ROUND(GV67*GW67*I67,1)</f>
        <v>0</v>
      </c>
      <c r="HA67">
        <v>0</v>
      </c>
      <c r="HB67">
        <v>0</v>
      </c>
      <c r="IK67">
        <v>0</v>
      </c>
    </row>
    <row r="68" spans="1:245" ht="12.75">
      <c r="A68">
        <v>17</v>
      </c>
      <c r="B68">
        <v>1</v>
      </c>
      <c r="C68">
        <f>ROW(SmtRes!A7)</f>
        <v>7</v>
      </c>
      <c r="D68">
        <f>ROW(EtalonRes!A7)</f>
        <v>7</v>
      </c>
      <c r="E68" t="s">
        <v>111</v>
      </c>
      <c r="F68" t="s">
        <v>112</v>
      </c>
      <c r="G68" t="s">
        <v>113</v>
      </c>
      <c r="H68" t="s">
        <v>114</v>
      </c>
      <c r="I68">
        <f>ROUND(0.1,3)</f>
        <v>0.1</v>
      </c>
      <c r="J68">
        <v>0</v>
      </c>
      <c r="O68">
        <f t="shared" si="33"/>
        <v>3635.5</v>
      </c>
      <c r="P68">
        <f t="shared" si="34"/>
        <v>0</v>
      </c>
      <c r="Q68">
        <f t="shared" si="35"/>
        <v>0</v>
      </c>
      <c r="R68">
        <f t="shared" si="36"/>
        <v>0</v>
      </c>
      <c r="S68">
        <f t="shared" si="37"/>
        <v>3635.5</v>
      </c>
      <c r="T68">
        <f t="shared" si="38"/>
        <v>0</v>
      </c>
      <c r="U68">
        <f t="shared" si="39"/>
        <v>21.735</v>
      </c>
      <c r="V68">
        <f t="shared" si="40"/>
        <v>0</v>
      </c>
      <c r="W68">
        <f t="shared" si="41"/>
        <v>0</v>
      </c>
      <c r="X68">
        <f t="shared" si="42"/>
        <v>2472.1</v>
      </c>
      <c r="Y68">
        <f t="shared" si="43"/>
        <v>1308.8</v>
      </c>
      <c r="AA68">
        <v>42253831</v>
      </c>
      <c r="AB68">
        <f>ROUND((AC68+AD68+AF68),6)</f>
        <v>1821.393</v>
      </c>
      <c r="AC68">
        <f t="shared" si="44"/>
        <v>0</v>
      </c>
      <c r="AD68">
        <f>ROUND((((ET68)-(EU68))+AE68),6)</f>
        <v>0</v>
      </c>
      <c r="AE68">
        <f aca="true" t="shared" si="64" ref="AE68:AE75">ROUND((EU68),6)</f>
        <v>0</v>
      </c>
      <c r="AF68">
        <f>ROUND(((EV68*1.15)),6)</f>
        <v>1821.393</v>
      </c>
      <c r="AG68">
        <f t="shared" si="45"/>
        <v>0</v>
      </c>
      <c r="AH68">
        <f>((EW68*1.15))</f>
        <v>217.35</v>
      </c>
      <c r="AI68">
        <f aca="true" t="shared" si="65" ref="AI68:AI75">(EX68)</f>
        <v>0</v>
      </c>
      <c r="AJ68">
        <f t="shared" si="46"/>
        <v>0</v>
      </c>
      <c r="AK68">
        <v>1583.82</v>
      </c>
      <c r="AL68">
        <v>0</v>
      </c>
      <c r="AM68">
        <v>0</v>
      </c>
      <c r="AN68">
        <v>0</v>
      </c>
      <c r="AO68">
        <v>1583.82</v>
      </c>
      <c r="AP68">
        <v>0</v>
      </c>
      <c r="AQ68">
        <v>189</v>
      </c>
      <c r="AR68">
        <v>0</v>
      </c>
      <c r="AS68">
        <v>0</v>
      </c>
      <c r="AT68">
        <v>68</v>
      </c>
      <c r="AU68">
        <v>36</v>
      </c>
      <c r="AV68">
        <v>1</v>
      </c>
      <c r="AW68">
        <v>1</v>
      </c>
      <c r="AZ68">
        <v>1</v>
      </c>
      <c r="BA68">
        <v>19.96</v>
      </c>
      <c r="BB68">
        <v>7.11</v>
      </c>
      <c r="BC68">
        <v>5.66</v>
      </c>
      <c r="BH68">
        <v>0</v>
      </c>
      <c r="BI68">
        <v>1</v>
      </c>
      <c r="BJ68" t="s">
        <v>115</v>
      </c>
      <c r="BM68">
        <v>1003</v>
      </c>
      <c r="BN68">
        <v>0</v>
      </c>
      <c r="BO68" t="s">
        <v>27</v>
      </c>
      <c r="BP68">
        <v>1</v>
      </c>
      <c r="BQ68">
        <v>2</v>
      </c>
      <c r="BR68">
        <v>0</v>
      </c>
      <c r="BS68">
        <v>19.96</v>
      </c>
      <c r="BT68">
        <v>1</v>
      </c>
      <c r="BU68">
        <v>1</v>
      </c>
      <c r="BV68">
        <v>1</v>
      </c>
      <c r="BW68">
        <v>1</v>
      </c>
      <c r="BX68">
        <v>1</v>
      </c>
      <c r="BZ68">
        <v>80</v>
      </c>
      <c r="CA68">
        <v>45</v>
      </c>
      <c r="CF68">
        <v>0</v>
      </c>
      <c r="CG68">
        <v>0</v>
      </c>
      <c r="CM68">
        <v>0</v>
      </c>
      <c r="CN68" t="s">
        <v>116</v>
      </c>
      <c r="CO68">
        <v>0</v>
      </c>
      <c r="CP68">
        <f t="shared" si="47"/>
        <v>3635.5</v>
      </c>
      <c r="CQ68">
        <f t="shared" si="48"/>
        <v>0</v>
      </c>
      <c r="CR68">
        <f t="shared" si="49"/>
        <v>0</v>
      </c>
      <c r="CS68">
        <f t="shared" si="50"/>
        <v>0</v>
      </c>
      <c r="CT68">
        <f t="shared" si="51"/>
        <v>36355.00428</v>
      </c>
      <c r="CU68">
        <f t="shared" si="52"/>
        <v>0</v>
      </c>
      <c r="CV68">
        <f t="shared" si="53"/>
        <v>217.35</v>
      </c>
      <c r="CW68">
        <f t="shared" si="54"/>
        <v>0</v>
      </c>
      <c r="CX68">
        <f t="shared" si="55"/>
        <v>0</v>
      </c>
      <c r="CY68">
        <f>(((S68+R68)*AT68)/100)</f>
        <v>2472.14</v>
      </c>
      <c r="CZ68">
        <f>(((S68+R68)*AU68)/100)</f>
        <v>1308.78</v>
      </c>
      <c r="DG68" t="s">
        <v>117</v>
      </c>
      <c r="DI68" t="s">
        <v>117</v>
      </c>
      <c r="DN68">
        <v>0</v>
      </c>
      <c r="DO68">
        <v>0</v>
      </c>
      <c r="DP68">
        <v>1</v>
      </c>
      <c r="DQ68">
        <v>1</v>
      </c>
      <c r="DU68">
        <v>1007</v>
      </c>
      <c r="DV68" t="s">
        <v>114</v>
      </c>
      <c r="DW68" t="s">
        <v>114</v>
      </c>
      <c r="DX68">
        <v>100</v>
      </c>
      <c r="EE68">
        <v>39125349</v>
      </c>
      <c r="EF68">
        <v>2</v>
      </c>
      <c r="EG68" t="s">
        <v>28</v>
      </c>
      <c r="EH68">
        <v>0</v>
      </c>
      <c r="EJ68">
        <v>1</v>
      </c>
      <c r="EK68">
        <v>1003</v>
      </c>
      <c r="EL68" t="s">
        <v>118</v>
      </c>
      <c r="EM68" t="s">
        <v>30</v>
      </c>
      <c r="EO68" t="s">
        <v>119</v>
      </c>
      <c r="EQ68">
        <v>0</v>
      </c>
      <c r="ER68">
        <v>1583.82</v>
      </c>
      <c r="ES68">
        <v>0</v>
      </c>
      <c r="ET68">
        <v>0</v>
      </c>
      <c r="EU68">
        <v>0</v>
      </c>
      <c r="EV68">
        <v>1583.82</v>
      </c>
      <c r="EW68">
        <v>189</v>
      </c>
      <c r="EX68">
        <v>0</v>
      </c>
      <c r="EY68">
        <v>0</v>
      </c>
      <c r="FQ68">
        <v>0</v>
      </c>
      <c r="FR68">
        <f t="shared" si="56"/>
        <v>0</v>
      </c>
      <c r="FS68">
        <v>0</v>
      </c>
      <c r="FV68" t="s">
        <v>31</v>
      </c>
      <c r="FW68" t="s">
        <v>32</v>
      </c>
      <c r="FX68">
        <v>80</v>
      </c>
      <c r="FY68">
        <v>45</v>
      </c>
      <c r="GD68">
        <v>0</v>
      </c>
      <c r="GF68">
        <v>-1018998312</v>
      </c>
      <c r="GG68">
        <v>2</v>
      </c>
      <c r="GH68">
        <v>1</v>
      </c>
      <c r="GI68">
        <v>4</v>
      </c>
      <c r="GJ68">
        <v>0</v>
      </c>
      <c r="GK68">
        <f>ROUND(R68*(R12)/100,1)</f>
        <v>0</v>
      </c>
      <c r="GL68">
        <f t="shared" si="57"/>
        <v>0</v>
      </c>
      <c r="GM68">
        <f t="shared" si="58"/>
        <v>7416.4</v>
      </c>
      <c r="GN68">
        <f t="shared" si="59"/>
        <v>7416.4</v>
      </c>
      <c r="GO68">
        <f t="shared" si="60"/>
        <v>0</v>
      </c>
      <c r="GP68">
        <f t="shared" si="61"/>
        <v>0</v>
      </c>
      <c r="GR68">
        <v>0</v>
      </c>
      <c r="GS68">
        <v>3</v>
      </c>
      <c r="GT68">
        <v>0</v>
      </c>
      <c r="GV68">
        <f t="shared" si="62"/>
        <v>0</v>
      </c>
      <c r="GW68">
        <v>19.96</v>
      </c>
      <c r="GX68">
        <f t="shared" si="63"/>
        <v>0</v>
      </c>
      <c r="HA68">
        <v>0</v>
      </c>
      <c r="HB68">
        <v>0</v>
      </c>
      <c r="IK68">
        <v>0</v>
      </c>
    </row>
    <row r="69" spans="1:245" ht="12.75">
      <c r="A69">
        <v>17</v>
      </c>
      <c r="B69">
        <v>1</v>
      </c>
      <c r="C69">
        <f>ROW(SmtRes!A8)</f>
        <v>8</v>
      </c>
      <c r="D69">
        <f>ROW(EtalonRes!A8)</f>
        <v>8</v>
      </c>
      <c r="E69" t="s">
        <v>120</v>
      </c>
      <c r="F69" t="s">
        <v>121</v>
      </c>
      <c r="G69" t="s">
        <v>122</v>
      </c>
      <c r="H69" t="s">
        <v>114</v>
      </c>
      <c r="I69">
        <f>ROUND(1.18,3)</f>
        <v>1.18</v>
      </c>
      <c r="J69">
        <v>0</v>
      </c>
      <c r="O69">
        <f t="shared" si="33"/>
        <v>9461.2</v>
      </c>
      <c r="P69">
        <f t="shared" si="34"/>
        <v>0</v>
      </c>
      <c r="Q69">
        <f t="shared" si="35"/>
        <v>0</v>
      </c>
      <c r="R69">
        <f t="shared" si="36"/>
        <v>0</v>
      </c>
      <c r="S69">
        <f t="shared" si="37"/>
        <v>9461.2</v>
      </c>
      <c r="T69">
        <f t="shared" si="38"/>
        <v>0</v>
      </c>
      <c r="U69">
        <f t="shared" si="39"/>
        <v>63.2008</v>
      </c>
      <c r="V69">
        <f t="shared" si="40"/>
        <v>0</v>
      </c>
      <c r="W69">
        <f t="shared" si="41"/>
        <v>0</v>
      </c>
      <c r="X69">
        <f t="shared" si="42"/>
        <v>6433.6</v>
      </c>
      <c r="Y69">
        <f t="shared" si="43"/>
        <v>3406</v>
      </c>
      <c r="AA69">
        <v>42253831</v>
      </c>
      <c r="AB69">
        <f>ROUND((AC69+AD69+AF69),6)</f>
        <v>401.7</v>
      </c>
      <c r="AC69">
        <f t="shared" si="44"/>
        <v>0</v>
      </c>
      <c r="AD69">
        <f>ROUND((((ET69)-(EU69))+AE69),6)</f>
        <v>0</v>
      </c>
      <c r="AE69">
        <f t="shared" si="64"/>
        <v>0</v>
      </c>
      <c r="AF69">
        <f aca="true" t="shared" si="66" ref="AF69:AF75">ROUND((EV69),6)</f>
        <v>401.7</v>
      </c>
      <c r="AG69">
        <f t="shared" si="45"/>
        <v>0</v>
      </c>
      <c r="AH69">
        <f aca="true" t="shared" si="67" ref="AH69:AH75">(EW69)</f>
        <v>53.56</v>
      </c>
      <c r="AI69">
        <f t="shared" si="65"/>
        <v>0</v>
      </c>
      <c r="AJ69">
        <f t="shared" si="46"/>
        <v>0</v>
      </c>
      <c r="AK69">
        <v>401.7</v>
      </c>
      <c r="AL69">
        <v>0</v>
      </c>
      <c r="AM69">
        <v>0</v>
      </c>
      <c r="AN69">
        <v>0</v>
      </c>
      <c r="AO69">
        <v>401.7</v>
      </c>
      <c r="AP69">
        <v>0</v>
      </c>
      <c r="AQ69">
        <v>53.56</v>
      </c>
      <c r="AR69">
        <v>0</v>
      </c>
      <c r="AS69">
        <v>0</v>
      </c>
      <c r="AT69">
        <v>68</v>
      </c>
      <c r="AU69">
        <v>36</v>
      </c>
      <c r="AV69">
        <v>1</v>
      </c>
      <c r="AW69">
        <v>1</v>
      </c>
      <c r="AZ69">
        <v>1</v>
      </c>
      <c r="BA69">
        <v>19.96</v>
      </c>
      <c r="BB69">
        <v>7.11</v>
      </c>
      <c r="BC69">
        <v>5.66</v>
      </c>
      <c r="BH69">
        <v>0</v>
      </c>
      <c r="BI69">
        <v>1</v>
      </c>
      <c r="BJ69" t="s">
        <v>123</v>
      </c>
      <c r="BM69">
        <v>1003</v>
      </c>
      <c r="BN69">
        <v>0</v>
      </c>
      <c r="BO69" t="s">
        <v>27</v>
      </c>
      <c r="BP69">
        <v>1</v>
      </c>
      <c r="BQ69">
        <v>2</v>
      </c>
      <c r="BR69">
        <v>0</v>
      </c>
      <c r="BS69">
        <v>19.96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80</v>
      </c>
      <c r="CA69">
        <v>45</v>
      </c>
      <c r="CF69">
        <v>0</v>
      </c>
      <c r="CG69">
        <v>0</v>
      </c>
      <c r="CM69">
        <v>0</v>
      </c>
      <c r="CO69">
        <v>0</v>
      </c>
      <c r="CP69">
        <f t="shared" si="47"/>
        <v>9461.2</v>
      </c>
      <c r="CQ69">
        <f t="shared" si="48"/>
        <v>0</v>
      </c>
      <c r="CR69">
        <f t="shared" si="49"/>
        <v>0</v>
      </c>
      <c r="CS69">
        <f t="shared" si="50"/>
        <v>0</v>
      </c>
      <c r="CT69">
        <f t="shared" si="51"/>
        <v>8017.932</v>
      </c>
      <c r="CU69">
        <f t="shared" si="52"/>
        <v>0</v>
      </c>
      <c r="CV69">
        <f t="shared" si="53"/>
        <v>53.56</v>
      </c>
      <c r="CW69">
        <f t="shared" si="54"/>
        <v>0</v>
      </c>
      <c r="CX69">
        <f t="shared" si="55"/>
        <v>0</v>
      </c>
      <c r="CY69">
        <f>(((S69+R69)*AT69)/100)</f>
        <v>6433.616000000001</v>
      </c>
      <c r="CZ69">
        <f>(((S69+R69)*AU69)/100)</f>
        <v>3406.032</v>
      </c>
      <c r="DN69">
        <v>0</v>
      </c>
      <c r="DO69">
        <v>0</v>
      </c>
      <c r="DP69">
        <v>1</v>
      </c>
      <c r="DQ69">
        <v>1</v>
      </c>
      <c r="DU69">
        <v>1007</v>
      </c>
      <c r="DV69" t="s">
        <v>114</v>
      </c>
      <c r="DW69" t="s">
        <v>114</v>
      </c>
      <c r="DX69">
        <v>100</v>
      </c>
      <c r="EE69">
        <v>39125349</v>
      </c>
      <c r="EF69">
        <v>2</v>
      </c>
      <c r="EG69" t="s">
        <v>28</v>
      </c>
      <c r="EH69">
        <v>0</v>
      </c>
      <c r="EJ69">
        <v>1</v>
      </c>
      <c r="EK69">
        <v>1003</v>
      </c>
      <c r="EL69" t="s">
        <v>118</v>
      </c>
      <c r="EM69" t="s">
        <v>30</v>
      </c>
      <c r="EQ69">
        <v>0</v>
      </c>
      <c r="ER69">
        <v>401.7</v>
      </c>
      <c r="ES69">
        <v>0</v>
      </c>
      <c r="ET69">
        <v>0</v>
      </c>
      <c r="EU69">
        <v>0</v>
      </c>
      <c r="EV69">
        <v>401.7</v>
      </c>
      <c r="EW69">
        <v>53.56</v>
      </c>
      <c r="EX69">
        <v>0</v>
      </c>
      <c r="EY69">
        <v>0</v>
      </c>
      <c r="FQ69">
        <v>0</v>
      </c>
      <c r="FR69">
        <f t="shared" si="56"/>
        <v>0</v>
      </c>
      <c r="FS69">
        <v>0</v>
      </c>
      <c r="FV69" t="s">
        <v>31</v>
      </c>
      <c r="FW69" t="s">
        <v>32</v>
      </c>
      <c r="FX69">
        <v>80</v>
      </c>
      <c r="FY69">
        <v>45</v>
      </c>
      <c r="GD69">
        <v>0</v>
      </c>
      <c r="GF69">
        <v>383295172</v>
      </c>
      <c r="GG69">
        <v>2</v>
      </c>
      <c r="GH69">
        <v>1</v>
      </c>
      <c r="GI69">
        <v>4</v>
      </c>
      <c r="GJ69">
        <v>0</v>
      </c>
      <c r="GK69">
        <f>ROUND(R69*(R12)/100,1)</f>
        <v>0</v>
      </c>
      <c r="GL69">
        <f t="shared" si="57"/>
        <v>0</v>
      </c>
      <c r="GM69">
        <f t="shared" si="58"/>
        <v>19300.8</v>
      </c>
      <c r="GN69">
        <f t="shared" si="59"/>
        <v>19300.8</v>
      </c>
      <c r="GO69">
        <f t="shared" si="60"/>
        <v>0</v>
      </c>
      <c r="GP69">
        <f t="shared" si="61"/>
        <v>0</v>
      </c>
      <c r="GR69">
        <v>0</v>
      </c>
      <c r="GS69">
        <v>3</v>
      </c>
      <c r="GT69">
        <v>0</v>
      </c>
      <c r="GV69">
        <f t="shared" si="62"/>
        <v>0</v>
      </c>
      <c r="GW69">
        <v>19.96</v>
      </c>
      <c r="GX69">
        <f t="shared" si="63"/>
        <v>0</v>
      </c>
      <c r="HA69">
        <v>0</v>
      </c>
      <c r="HB69">
        <v>0</v>
      </c>
      <c r="IK69">
        <v>0</v>
      </c>
    </row>
    <row r="70" spans="1:245" ht="12.75">
      <c r="A70">
        <v>17</v>
      </c>
      <c r="B70">
        <v>1</v>
      </c>
      <c r="E70" t="s">
        <v>124</v>
      </c>
      <c r="F70" t="s">
        <v>43</v>
      </c>
      <c r="G70" t="s">
        <v>44</v>
      </c>
      <c r="H70" t="s">
        <v>36</v>
      </c>
      <c r="I70">
        <f>ROUND(200,3)</f>
        <v>200</v>
      </c>
      <c r="J70">
        <v>0</v>
      </c>
      <c r="O70">
        <f t="shared" si="33"/>
        <v>14851.8</v>
      </c>
      <c r="P70">
        <f t="shared" si="34"/>
        <v>0</v>
      </c>
      <c r="Q70">
        <f t="shared" si="35"/>
        <v>14851.8</v>
      </c>
      <c r="R70">
        <f t="shared" si="36"/>
        <v>0</v>
      </c>
      <c r="S70">
        <f t="shared" si="37"/>
        <v>0</v>
      </c>
      <c r="T70">
        <f t="shared" si="38"/>
        <v>0</v>
      </c>
      <c r="U70">
        <f t="shared" si="39"/>
        <v>0</v>
      </c>
      <c r="V70">
        <f t="shared" si="40"/>
        <v>0</v>
      </c>
      <c r="W70">
        <f t="shared" si="41"/>
        <v>0</v>
      </c>
      <c r="X70">
        <f t="shared" si="42"/>
        <v>0</v>
      </c>
      <c r="Y70">
        <f t="shared" si="43"/>
        <v>0</v>
      </c>
      <c r="AA70">
        <v>42253831</v>
      </c>
      <c r="AB70">
        <f>ROUND(13.38,6)</f>
        <v>13.38</v>
      </c>
      <c r="AC70">
        <f t="shared" si="44"/>
        <v>0</v>
      </c>
      <c r="AD70">
        <f>ROUND(13.38,6)</f>
        <v>13.38</v>
      </c>
      <c r="AE70">
        <f t="shared" si="64"/>
        <v>0</v>
      </c>
      <c r="AF70">
        <f t="shared" si="66"/>
        <v>0</v>
      </c>
      <c r="AG70">
        <f t="shared" si="45"/>
        <v>0</v>
      </c>
      <c r="AH70">
        <f t="shared" si="67"/>
        <v>0</v>
      </c>
      <c r="AI70">
        <f t="shared" si="65"/>
        <v>0</v>
      </c>
      <c r="AJ70">
        <f t="shared" si="46"/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1</v>
      </c>
      <c r="AW70">
        <v>1</v>
      </c>
      <c r="AZ70">
        <v>1</v>
      </c>
      <c r="BA70">
        <v>19.96</v>
      </c>
      <c r="BB70">
        <v>5.55</v>
      </c>
      <c r="BC70">
        <v>5.66</v>
      </c>
      <c r="BH70">
        <v>0</v>
      </c>
      <c r="BI70">
        <v>1</v>
      </c>
      <c r="BJ70" t="s">
        <v>45</v>
      </c>
      <c r="BM70">
        <v>700005</v>
      </c>
      <c r="BN70">
        <v>0</v>
      </c>
      <c r="BO70" t="s">
        <v>27</v>
      </c>
      <c r="BP70">
        <v>1</v>
      </c>
      <c r="BQ70">
        <v>10</v>
      </c>
      <c r="BR70">
        <v>0</v>
      </c>
      <c r="BS70">
        <v>19.96</v>
      </c>
      <c r="BT70">
        <v>1</v>
      </c>
      <c r="BU70">
        <v>1</v>
      </c>
      <c r="BV70">
        <v>1</v>
      </c>
      <c r="BW70">
        <v>1</v>
      </c>
      <c r="BX70">
        <v>1</v>
      </c>
      <c r="BZ70">
        <v>0</v>
      </c>
      <c r="CA70">
        <v>0</v>
      </c>
      <c r="CF70">
        <v>0</v>
      </c>
      <c r="CG70">
        <v>0</v>
      </c>
      <c r="CM70">
        <v>0</v>
      </c>
      <c r="CO70">
        <v>0</v>
      </c>
      <c r="CP70">
        <f t="shared" si="47"/>
        <v>14851.8</v>
      </c>
      <c r="CQ70">
        <f t="shared" si="48"/>
        <v>0</v>
      </c>
      <c r="CR70">
        <f t="shared" si="49"/>
        <v>74.259</v>
      </c>
      <c r="CS70">
        <f t="shared" si="50"/>
        <v>0</v>
      </c>
      <c r="CT70">
        <f t="shared" si="51"/>
        <v>0</v>
      </c>
      <c r="CU70">
        <f t="shared" si="52"/>
        <v>0</v>
      </c>
      <c r="CV70">
        <f t="shared" si="53"/>
        <v>0</v>
      </c>
      <c r="CW70">
        <f t="shared" si="54"/>
        <v>0</v>
      </c>
      <c r="CX70">
        <f t="shared" si="55"/>
        <v>0</v>
      </c>
      <c r="CY70">
        <f>0</f>
        <v>0</v>
      </c>
      <c r="CZ70">
        <f>0</f>
        <v>0</v>
      </c>
      <c r="DC70" t="s">
        <v>46</v>
      </c>
      <c r="DE70" t="s">
        <v>46</v>
      </c>
      <c r="DN70">
        <v>0</v>
      </c>
      <c r="DO70">
        <v>0</v>
      </c>
      <c r="DP70">
        <v>1</v>
      </c>
      <c r="DQ70">
        <v>1</v>
      </c>
      <c r="DU70">
        <v>1013</v>
      </c>
      <c r="DV70" t="s">
        <v>36</v>
      </c>
      <c r="DW70" t="s">
        <v>36</v>
      </c>
      <c r="DX70">
        <v>1</v>
      </c>
      <c r="EE70">
        <v>39125568</v>
      </c>
      <c r="EF70">
        <v>10</v>
      </c>
      <c r="EG70" t="s">
        <v>47</v>
      </c>
      <c r="EH70">
        <v>0</v>
      </c>
      <c r="EJ70">
        <v>1</v>
      </c>
      <c r="EK70">
        <v>700005</v>
      </c>
      <c r="EL70" t="s">
        <v>48</v>
      </c>
      <c r="EM70" t="s">
        <v>49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FQ70">
        <v>0</v>
      </c>
      <c r="FR70">
        <f t="shared" si="56"/>
        <v>0</v>
      </c>
      <c r="FS70">
        <v>0</v>
      </c>
      <c r="FX70">
        <v>0</v>
      </c>
      <c r="FY70">
        <v>0</v>
      </c>
      <c r="GD70">
        <v>0</v>
      </c>
      <c r="GF70">
        <v>924588137</v>
      </c>
      <c r="GG70">
        <v>2</v>
      </c>
      <c r="GH70">
        <v>1</v>
      </c>
      <c r="GI70">
        <v>4</v>
      </c>
      <c r="GJ70">
        <v>0</v>
      </c>
      <c r="GK70">
        <f>ROUND(R70*(R12)/100,1)</f>
        <v>0</v>
      </c>
      <c r="GL70">
        <f t="shared" si="57"/>
        <v>0</v>
      </c>
      <c r="GM70">
        <f t="shared" si="58"/>
        <v>14851.8</v>
      </c>
      <c r="GN70">
        <f t="shared" si="59"/>
        <v>14851.8</v>
      </c>
      <c r="GO70">
        <f t="shared" si="60"/>
        <v>0</v>
      </c>
      <c r="GP70">
        <f t="shared" si="61"/>
        <v>0</v>
      </c>
      <c r="GR70">
        <v>0</v>
      </c>
      <c r="GS70">
        <v>0</v>
      </c>
      <c r="GT70">
        <v>0</v>
      </c>
      <c r="GV70">
        <f t="shared" si="62"/>
        <v>0</v>
      </c>
      <c r="GW70">
        <v>19.96</v>
      </c>
      <c r="GX70">
        <f t="shared" si="63"/>
        <v>0</v>
      </c>
      <c r="HA70">
        <v>0</v>
      </c>
      <c r="HB70">
        <v>0</v>
      </c>
      <c r="IK70">
        <v>0</v>
      </c>
    </row>
    <row r="71" spans="1:245" ht="12.75">
      <c r="A71">
        <v>17</v>
      </c>
      <c r="B71">
        <v>1</v>
      </c>
      <c r="C71">
        <f>ROW(SmtRes!A13)</f>
        <v>13</v>
      </c>
      <c r="D71">
        <f>ROW(EtalonRes!A13)</f>
        <v>13</v>
      </c>
      <c r="E71" t="s">
        <v>125</v>
      </c>
      <c r="F71" t="s">
        <v>126</v>
      </c>
      <c r="G71" t="s">
        <v>127</v>
      </c>
      <c r="H71" t="s">
        <v>106</v>
      </c>
      <c r="I71">
        <f>ROUND(0.117,3)</f>
        <v>0.117</v>
      </c>
      <c r="J71">
        <v>0</v>
      </c>
      <c r="O71">
        <f t="shared" si="33"/>
        <v>336.5</v>
      </c>
      <c r="P71">
        <f t="shared" si="34"/>
        <v>2.9</v>
      </c>
      <c r="Q71">
        <f t="shared" si="35"/>
        <v>267.1</v>
      </c>
      <c r="R71">
        <f t="shared" si="36"/>
        <v>127.3</v>
      </c>
      <c r="S71">
        <f t="shared" si="37"/>
        <v>66.5</v>
      </c>
      <c r="T71">
        <f t="shared" si="38"/>
        <v>0</v>
      </c>
      <c r="U71">
        <f t="shared" si="39"/>
        <v>0.42705000000000004</v>
      </c>
      <c r="V71">
        <f t="shared" si="40"/>
        <v>0.47385</v>
      </c>
      <c r="W71">
        <f t="shared" si="41"/>
        <v>0</v>
      </c>
      <c r="X71">
        <f t="shared" si="42"/>
        <v>157</v>
      </c>
      <c r="Y71">
        <f t="shared" si="43"/>
        <v>77.5</v>
      </c>
      <c r="AA71">
        <v>42253831</v>
      </c>
      <c r="AB71">
        <f>ROUND((AC71+AD71+AF71),6)</f>
        <v>353.88</v>
      </c>
      <c r="AC71">
        <f t="shared" si="44"/>
        <v>4.34</v>
      </c>
      <c r="AD71">
        <f>ROUND((((ET71)-(EU71))+AE71),6)</f>
        <v>321.07</v>
      </c>
      <c r="AE71">
        <f t="shared" si="64"/>
        <v>54.53</v>
      </c>
      <c r="AF71">
        <f t="shared" si="66"/>
        <v>28.47</v>
      </c>
      <c r="AG71">
        <f t="shared" si="45"/>
        <v>0</v>
      </c>
      <c r="AH71">
        <f t="shared" si="67"/>
        <v>3.65</v>
      </c>
      <c r="AI71">
        <f t="shared" si="65"/>
        <v>4.05</v>
      </c>
      <c r="AJ71">
        <f t="shared" si="46"/>
        <v>0</v>
      </c>
      <c r="AK71">
        <v>353.88</v>
      </c>
      <c r="AL71">
        <v>4.34</v>
      </c>
      <c r="AM71">
        <v>321.07</v>
      </c>
      <c r="AN71">
        <v>54.53</v>
      </c>
      <c r="AO71">
        <v>28.47</v>
      </c>
      <c r="AP71">
        <v>0</v>
      </c>
      <c r="AQ71">
        <v>3.65</v>
      </c>
      <c r="AR71">
        <v>4.05</v>
      </c>
      <c r="AS71">
        <v>0</v>
      </c>
      <c r="AT71">
        <v>81</v>
      </c>
      <c r="AU71">
        <v>40</v>
      </c>
      <c r="AV71">
        <v>1</v>
      </c>
      <c r="AW71">
        <v>1</v>
      </c>
      <c r="AZ71">
        <v>1</v>
      </c>
      <c r="BA71">
        <v>19.96</v>
      </c>
      <c r="BB71">
        <v>7.11</v>
      </c>
      <c r="BC71">
        <v>5.66</v>
      </c>
      <c r="BH71">
        <v>0</v>
      </c>
      <c r="BI71">
        <v>1</v>
      </c>
      <c r="BJ71" t="s">
        <v>128</v>
      </c>
      <c r="BM71">
        <v>1001</v>
      </c>
      <c r="BN71">
        <v>0</v>
      </c>
      <c r="BO71" t="s">
        <v>27</v>
      </c>
      <c r="BP71">
        <v>1</v>
      </c>
      <c r="BQ71">
        <v>2</v>
      </c>
      <c r="BR71">
        <v>0</v>
      </c>
      <c r="BS71">
        <v>19.96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95</v>
      </c>
      <c r="CA71">
        <v>50</v>
      </c>
      <c r="CF71">
        <v>0</v>
      </c>
      <c r="CG71">
        <v>0</v>
      </c>
      <c r="CM71">
        <v>0</v>
      </c>
      <c r="CO71">
        <v>0</v>
      </c>
      <c r="CP71">
        <f t="shared" si="47"/>
        <v>336.5</v>
      </c>
      <c r="CQ71">
        <f t="shared" si="48"/>
        <v>24.5644</v>
      </c>
      <c r="CR71">
        <f t="shared" si="49"/>
        <v>2282.8077</v>
      </c>
      <c r="CS71">
        <f t="shared" si="50"/>
        <v>1088.4188000000001</v>
      </c>
      <c r="CT71">
        <f t="shared" si="51"/>
        <v>568.2612</v>
      </c>
      <c r="CU71">
        <f t="shared" si="52"/>
        <v>0</v>
      </c>
      <c r="CV71">
        <f t="shared" si="53"/>
        <v>3.65</v>
      </c>
      <c r="CW71">
        <f t="shared" si="54"/>
        <v>4.05</v>
      </c>
      <c r="CX71">
        <f t="shared" si="55"/>
        <v>0</v>
      </c>
      <c r="CY71">
        <f>(((S71+R71)*AT71)/100)</f>
        <v>156.978</v>
      </c>
      <c r="CZ71">
        <f>(((S71+R71)*AU71)/100)</f>
        <v>77.52</v>
      </c>
      <c r="DN71">
        <v>0</v>
      </c>
      <c r="DO71">
        <v>0</v>
      </c>
      <c r="DP71">
        <v>1</v>
      </c>
      <c r="DQ71">
        <v>1</v>
      </c>
      <c r="DU71">
        <v>1007</v>
      </c>
      <c r="DV71" t="s">
        <v>106</v>
      </c>
      <c r="DW71" t="s">
        <v>106</v>
      </c>
      <c r="DX71">
        <v>1000</v>
      </c>
      <c r="EE71">
        <v>39125347</v>
      </c>
      <c r="EF71">
        <v>2</v>
      </c>
      <c r="EG71" t="s">
        <v>28</v>
      </c>
      <c r="EH71">
        <v>0</v>
      </c>
      <c r="EJ71">
        <v>1</v>
      </c>
      <c r="EK71">
        <v>1001</v>
      </c>
      <c r="EL71" t="s">
        <v>109</v>
      </c>
      <c r="EM71" t="s">
        <v>30</v>
      </c>
      <c r="EQ71">
        <v>0</v>
      </c>
      <c r="ER71">
        <v>353.88</v>
      </c>
      <c r="ES71">
        <v>4.34</v>
      </c>
      <c r="ET71">
        <v>321.07</v>
      </c>
      <c r="EU71">
        <v>54.53</v>
      </c>
      <c r="EV71">
        <v>28.47</v>
      </c>
      <c r="EW71">
        <v>3.65</v>
      </c>
      <c r="EX71">
        <v>4.05</v>
      </c>
      <c r="EY71">
        <v>0</v>
      </c>
      <c r="FQ71">
        <v>0</v>
      </c>
      <c r="FR71">
        <f t="shared" si="56"/>
        <v>0</v>
      </c>
      <c r="FS71">
        <v>0</v>
      </c>
      <c r="FV71" t="s">
        <v>31</v>
      </c>
      <c r="FW71" t="s">
        <v>32</v>
      </c>
      <c r="FX71">
        <v>95</v>
      </c>
      <c r="FY71">
        <v>50</v>
      </c>
      <c r="GD71">
        <v>0</v>
      </c>
      <c r="GF71">
        <v>744119417</v>
      </c>
      <c r="GG71">
        <v>2</v>
      </c>
      <c r="GH71">
        <v>1</v>
      </c>
      <c r="GI71">
        <v>4</v>
      </c>
      <c r="GJ71">
        <v>0</v>
      </c>
      <c r="GK71">
        <f>ROUND(R71*(R12)/100,1)</f>
        <v>0</v>
      </c>
      <c r="GL71">
        <f t="shared" si="57"/>
        <v>0</v>
      </c>
      <c r="GM71">
        <f t="shared" si="58"/>
        <v>571</v>
      </c>
      <c r="GN71">
        <f t="shared" si="59"/>
        <v>571</v>
      </c>
      <c r="GO71">
        <f t="shared" si="60"/>
        <v>0</v>
      </c>
      <c r="GP71">
        <f t="shared" si="61"/>
        <v>0</v>
      </c>
      <c r="GR71">
        <v>0</v>
      </c>
      <c r="GS71">
        <v>3</v>
      </c>
      <c r="GT71">
        <v>0</v>
      </c>
      <c r="GV71">
        <f t="shared" si="62"/>
        <v>0</v>
      </c>
      <c r="GW71">
        <v>19.96</v>
      </c>
      <c r="GX71">
        <f t="shared" si="63"/>
        <v>0</v>
      </c>
      <c r="HA71">
        <v>0</v>
      </c>
      <c r="HB71">
        <v>0</v>
      </c>
      <c r="IK71">
        <v>0</v>
      </c>
    </row>
    <row r="72" spans="1:245" ht="12.75">
      <c r="A72">
        <v>17</v>
      </c>
      <c r="B72">
        <v>1</v>
      </c>
      <c r="C72">
        <f>ROW(SmtRes!A15)</f>
        <v>15</v>
      </c>
      <c r="D72">
        <f>ROW(EtalonRes!A15)</f>
        <v>15</v>
      </c>
      <c r="E72" t="s">
        <v>129</v>
      </c>
      <c r="F72" t="s">
        <v>130</v>
      </c>
      <c r="G72" t="s">
        <v>131</v>
      </c>
      <c r="H72" t="s">
        <v>106</v>
      </c>
      <c r="I72">
        <f>ROUND(0.0389,3)</f>
        <v>0.039</v>
      </c>
      <c r="J72">
        <v>0</v>
      </c>
      <c r="O72">
        <f t="shared" si="33"/>
        <v>125.3</v>
      </c>
      <c r="P72">
        <f t="shared" si="34"/>
        <v>0</v>
      </c>
      <c r="Q72">
        <f t="shared" si="35"/>
        <v>125.3</v>
      </c>
      <c r="R72">
        <f t="shared" si="36"/>
        <v>68.6</v>
      </c>
      <c r="S72">
        <f t="shared" si="37"/>
        <v>0</v>
      </c>
      <c r="T72">
        <f t="shared" si="38"/>
        <v>0</v>
      </c>
      <c r="U72">
        <f t="shared" si="39"/>
        <v>0</v>
      </c>
      <c r="V72">
        <f t="shared" si="40"/>
        <v>0.2964</v>
      </c>
      <c r="W72">
        <f t="shared" si="41"/>
        <v>0</v>
      </c>
      <c r="X72">
        <f t="shared" si="42"/>
        <v>55.6</v>
      </c>
      <c r="Y72">
        <f t="shared" si="43"/>
        <v>27.4</v>
      </c>
      <c r="AA72">
        <v>42253831</v>
      </c>
      <c r="AB72">
        <f>ROUND((AC72+AD72+AF72),6)</f>
        <v>451.97</v>
      </c>
      <c r="AC72">
        <f t="shared" si="44"/>
        <v>0</v>
      </c>
      <c r="AD72">
        <f>ROUND((((ET72)-(EU72))+AE72),6)</f>
        <v>451.97</v>
      </c>
      <c r="AE72">
        <f t="shared" si="64"/>
        <v>88.16</v>
      </c>
      <c r="AF72">
        <f t="shared" si="66"/>
        <v>0</v>
      </c>
      <c r="AG72">
        <f t="shared" si="45"/>
        <v>0</v>
      </c>
      <c r="AH72">
        <f t="shared" si="67"/>
        <v>0</v>
      </c>
      <c r="AI72">
        <f t="shared" si="65"/>
        <v>7.6</v>
      </c>
      <c r="AJ72">
        <f t="shared" si="46"/>
        <v>0</v>
      </c>
      <c r="AK72">
        <v>451.97</v>
      </c>
      <c r="AL72">
        <v>0</v>
      </c>
      <c r="AM72">
        <v>451.97</v>
      </c>
      <c r="AN72">
        <v>88.16</v>
      </c>
      <c r="AO72">
        <v>0</v>
      </c>
      <c r="AP72">
        <v>0</v>
      </c>
      <c r="AQ72">
        <v>0</v>
      </c>
      <c r="AR72">
        <v>7.6</v>
      </c>
      <c r="AS72">
        <v>0</v>
      </c>
      <c r="AT72">
        <v>81</v>
      </c>
      <c r="AU72">
        <v>40</v>
      </c>
      <c r="AV72">
        <v>1</v>
      </c>
      <c r="AW72">
        <v>1</v>
      </c>
      <c r="AZ72">
        <v>1</v>
      </c>
      <c r="BA72">
        <v>19.96</v>
      </c>
      <c r="BB72">
        <v>7.11</v>
      </c>
      <c r="BC72">
        <v>5.66</v>
      </c>
      <c r="BH72">
        <v>0</v>
      </c>
      <c r="BI72">
        <v>1</v>
      </c>
      <c r="BJ72" t="s">
        <v>132</v>
      </c>
      <c r="BM72">
        <v>1001</v>
      </c>
      <c r="BN72">
        <v>0</v>
      </c>
      <c r="BO72" t="s">
        <v>27</v>
      </c>
      <c r="BP72">
        <v>1</v>
      </c>
      <c r="BQ72">
        <v>2</v>
      </c>
      <c r="BR72">
        <v>0</v>
      </c>
      <c r="BS72">
        <v>19.96</v>
      </c>
      <c r="BT72">
        <v>1</v>
      </c>
      <c r="BU72">
        <v>1</v>
      </c>
      <c r="BV72">
        <v>1</v>
      </c>
      <c r="BW72">
        <v>1</v>
      </c>
      <c r="BX72">
        <v>1</v>
      </c>
      <c r="BZ72">
        <v>95</v>
      </c>
      <c r="CA72">
        <v>50</v>
      </c>
      <c r="CF72">
        <v>0</v>
      </c>
      <c r="CG72">
        <v>0</v>
      </c>
      <c r="CM72">
        <v>0</v>
      </c>
      <c r="CO72">
        <v>0</v>
      </c>
      <c r="CP72">
        <f t="shared" si="47"/>
        <v>125.3</v>
      </c>
      <c r="CQ72">
        <f t="shared" si="48"/>
        <v>0</v>
      </c>
      <c r="CR72">
        <f t="shared" si="49"/>
        <v>3213.5067000000004</v>
      </c>
      <c r="CS72">
        <f t="shared" si="50"/>
        <v>1759.6736</v>
      </c>
      <c r="CT72">
        <f t="shared" si="51"/>
        <v>0</v>
      </c>
      <c r="CU72">
        <f t="shared" si="52"/>
        <v>0</v>
      </c>
      <c r="CV72">
        <f t="shared" si="53"/>
        <v>0</v>
      </c>
      <c r="CW72">
        <f t="shared" si="54"/>
        <v>7.6</v>
      </c>
      <c r="CX72">
        <f t="shared" si="55"/>
        <v>0</v>
      </c>
      <c r="CY72">
        <f>(((S72+R72)*AT72)/100)</f>
        <v>55.565999999999995</v>
      </c>
      <c r="CZ72">
        <f>(((S72+R72)*AU72)/100)</f>
        <v>27.44</v>
      </c>
      <c r="DN72">
        <v>0</v>
      </c>
      <c r="DO72">
        <v>0</v>
      </c>
      <c r="DP72">
        <v>1</v>
      </c>
      <c r="DQ72">
        <v>1</v>
      </c>
      <c r="DU72">
        <v>1007</v>
      </c>
      <c r="DV72" t="s">
        <v>106</v>
      </c>
      <c r="DW72" t="s">
        <v>106</v>
      </c>
      <c r="DX72">
        <v>1000</v>
      </c>
      <c r="EE72">
        <v>39125347</v>
      </c>
      <c r="EF72">
        <v>2</v>
      </c>
      <c r="EG72" t="s">
        <v>28</v>
      </c>
      <c r="EH72">
        <v>0</v>
      </c>
      <c r="EJ72">
        <v>1</v>
      </c>
      <c r="EK72">
        <v>1001</v>
      </c>
      <c r="EL72" t="s">
        <v>109</v>
      </c>
      <c r="EM72" t="s">
        <v>30</v>
      </c>
      <c r="EQ72">
        <v>0</v>
      </c>
      <c r="ER72">
        <v>451.97</v>
      </c>
      <c r="ES72">
        <v>0</v>
      </c>
      <c r="ET72">
        <v>451.97</v>
      </c>
      <c r="EU72">
        <v>88.16</v>
      </c>
      <c r="EV72">
        <v>0</v>
      </c>
      <c r="EW72">
        <v>0</v>
      </c>
      <c r="EX72">
        <v>7.6</v>
      </c>
      <c r="EY72">
        <v>0</v>
      </c>
      <c r="FQ72">
        <v>0</v>
      </c>
      <c r="FR72">
        <f t="shared" si="56"/>
        <v>0</v>
      </c>
      <c r="FS72">
        <v>0</v>
      </c>
      <c r="FV72" t="s">
        <v>31</v>
      </c>
      <c r="FW72" t="s">
        <v>32</v>
      </c>
      <c r="FX72">
        <v>95</v>
      </c>
      <c r="FY72">
        <v>50</v>
      </c>
      <c r="GD72">
        <v>0</v>
      </c>
      <c r="GF72">
        <v>-2029014360</v>
      </c>
      <c r="GG72">
        <v>2</v>
      </c>
      <c r="GH72">
        <v>1</v>
      </c>
      <c r="GI72">
        <v>4</v>
      </c>
      <c r="GJ72">
        <v>0</v>
      </c>
      <c r="GK72">
        <f>ROUND(R72*(R12)/100,1)</f>
        <v>0</v>
      </c>
      <c r="GL72">
        <f t="shared" si="57"/>
        <v>0</v>
      </c>
      <c r="GM72">
        <f t="shared" si="58"/>
        <v>208.3</v>
      </c>
      <c r="GN72">
        <f t="shared" si="59"/>
        <v>208.3</v>
      </c>
      <c r="GO72">
        <f t="shared" si="60"/>
        <v>0</v>
      </c>
      <c r="GP72">
        <f t="shared" si="61"/>
        <v>0</v>
      </c>
      <c r="GR72">
        <v>0</v>
      </c>
      <c r="GS72">
        <v>3</v>
      </c>
      <c r="GT72">
        <v>0</v>
      </c>
      <c r="GV72">
        <f t="shared" si="62"/>
        <v>0</v>
      </c>
      <c r="GW72">
        <v>19.96</v>
      </c>
      <c r="GX72">
        <f t="shared" si="63"/>
        <v>0</v>
      </c>
      <c r="HA72">
        <v>0</v>
      </c>
      <c r="HB72">
        <v>0</v>
      </c>
      <c r="IK72">
        <v>0</v>
      </c>
    </row>
    <row r="73" spans="1:245" ht="12.75">
      <c r="A73">
        <v>17</v>
      </c>
      <c r="B73">
        <v>1</v>
      </c>
      <c r="C73">
        <f>ROW(SmtRes!A18)</f>
        <v>18</v>
      </c>
      <c r="D73">
        <f>ROW(EtalonRes!A17)</f>
        <v>17</v>
      </c>
      <c r="E73" t="s">
        <v>133</v>
      </c>
      <c r="F73" t="s">
        <v>134</v>
      </c>
      <c r="G73" t="s">
        <v>135</v>
      </c>
      <c r="H73" t="s">
        <v>106</v>
      </c>
      <c r="I73">
        <f>ROUND(0.0389,3)</f>
        <v>0.039</v>
      </c>
      <c r="J73">
        <v>0</v>
      </c>
      <c r="O73">
        <f t="shared" si="33"/>
        <v>70.2</v>
      </c>
      <c r="P73">
        <f t="shared" si="34"/>
        <v>0</v>
      </c>
      <c r="Q73">
        <f t="shared" si="35"/>
        <v>70.2</v>
      </c>
      <c r="R73">
        <f t="shared" si="36"/>
        <v>38.5</v>
      </c>
      <c r="S73">
        <f t="shared" si="37"/>
        <v>0</v>
      </c>
      <c r="T73">
        <f t="shared" si="38"/>
        <v>0</v>
      </c>
      <c r="U73">
        <f t="shared" si="39"/>
        <v>0</v>
      </c>
      <c r="V73">
        <f t="shared" si="40"/>
        <v>0.16613999999999998</v>
      </c>
      <c r="W73">
        <f t="shared" si="41"/>
        <v>0</v>
      </c>
      <c r="X73">
        <f t="shared" si="42"/>
        <v>31.2</v>
      </c>
      <c r="Y73">
        <f t="shared" si="43"/>
        <v>15.4</v>
      </c>
      <c r="AA73">
        <v>42253831</v>
      </c>
      <c r="AB73">
        <f>ROUND((AC73+AD73+AF73),6)</f>
        <v>253.34</v>
      </c>
      <c r="AC73">
        <f t="shared" si="44"/>
        <v>0</v>
      </c>
      <c r="AD73">
        <f>ROUND((((ET73)-(EU73))+AE73),6)</f>
        <v>253.34</v>
      </c>
      <c r="AE73">
        <f t="shared" si="64"/>
        <v>49.42</v>
      </c>
      <c r="AF73">
        <f t="shared" si="66"/>
        <v>0</v>
      </c>
      <c r="AG73">
        <f t="shared" si="45"/>
        <v>0</v>
      </c>
      <c r="AH73">
        <f t="shared" si="67"/>
        <v>0</v>
      </c>
      <c r="AI73">
        <f t="shared" si="65"/>
        <v>4.26</v>
      </c>
      <c r="AJ73">
        <f t="shared" si="46"/>
        <v>0</v>
      </c>
      <c r="AK73">
        <v>253.34</v>
      </c>
      <c r="AL73">
        <v>0</v>
      </c>
      <c r="AM73">
        <v>253.34</v>
      </c>
      <c r="AN73">
        <v>49.42</v>
      </c>
      <c r="AO73">
        <v>0</v>
      </c>
      <c r="AP73">
        <v>0</v>
      </c>
      <c r="AQ73">
        <v>0</v>
      </c>
      <c r="AR73">
        <v>4.26</v>
      </c>
      <c r="AS73">
        <v>0</v>
      </c>
      <c r="AT73">
        <v>81</v>
      </c>
      <c r="AU73">
        <v>40</v>
      </c>
      <c r="AV73">
        <v>1</v>
      </c>
      <c r="AW73">
        <v>1</v>
      </c>
      <c r="AZ73">
        <v>1</v>
      </c>
      <c r="BA73">
        <v>19.96</v>
      </c>
      <c r="BB73">
        <v>7.11</v>
      </c>
      <c r="BC73">
        <v>5.66</v>
      </c>
      <c r="BH73">
        <v>0</v>
      </c>
      <c r="BI73">
        <v>1</v>
      </c>
      <c r="BJ73" t="s">
        <v>136</v>
      </c>
      <c r="BM73">
        <v>1001</v>
      </c>
      <c r="BN73">
        <v>0</v>
      </c>
      <c r="BO73" t="s">
        <v>27</v>
      </c>
      <c r="BP73">
        <v>1</v>
      </c>
      <c r="BQ73">
        <v>2</v>
      </c>
      <c r="BR73">
        <v>0</v>
      </c>
      <c r="BS73">
        <v>19.96</v>
      </c>
      <c r="BT73">
        <v>1</v>
      </c>
      <c r="BU73">
        <v>1</v>
      </c>
      <c r="BV73">
        <v>1</v>
      </c>
      <c r="BW73">
        <v>1</v>
      </c>
      <c r="BX73">
        <v>1</v>
      </c>
      <c r="BZ73">
        <v>95</v>
      </c>
      <c r="CA73">
        <v>50</v>
      </c>
      <c r="CF73">
        <v>0</v>
      </c>
      <c r="CG73">
        <v>0</v>
      </c>
      <c r="CM73">
        <v>0</v>
      </c>
      <c r="CO73">
        <v>0</v>
      </c>
      <c r="CP73">
        <f t="shared" si="47"/>
        <v>70.2</v>
      </c>
      <c r="CQ73">
        <f t="shared" si="48"/>
        <v>0</v>
      </c>
      <c r="CR73">
        <f t="shared" si="49"/>
        <v>1801.2474000000002</v>
      </c>
      <c r="CS73">
        <f t="shared" si="50"/>
        <v>986.4232000000001</v>
      </c>
      <c r="CT73">
        <f t="shared" si="51"/>
        <v>0</v>
      </c>
      <c r="CU73">
        <f t="shared" si="52"/>
        <v>0</v>
      </c>
      <c r="CV73">
        <f t="shared" si="53"/>
        <v>0</v>
      </c>
      <c r="CW73">
        <f t="shared" si="54"/>
        <v>4.26</v>
      </c>
      <c r="CX73">
        <f t="shared" si="55"/>
        <v>0</v>
      </c>
      <c r="CY73">
        <f>(((S73+R73)*AT73)/100)</f>
        <v>31.185</v>
      </c>
      <c r="CZ73">
        <f>(((S73+R73)*AU73)/100)</f>
        <v>15.4</v>
      </c>
      <c r="DN73">
        <v>0</v>
      </c>
      <c r="DO73">
        <v>0</v>
      </c>
      <c r="DP73">
        <v>1</v>
      </c>
      <c r="DQ73">
        <v>1</v>
      </c>
      <c r="DU73">
        <v>1007</v>
      </c>
      <c r="DV73" t="s">
        <v>106</v>
      </c>
      <c r="DW73" t="s">
        <v>106</v>
      </c>
      <c r="DX73">
        <v>1000</v>
      </c>
      <c r="EE73">
        <v>39125347</v>
      </c>
      <c r="EF73">
        <v>2</v>
      </c>
      <c r="EG73" t="s">
        <v>28</v>
      </c>
      <c r="EH73">
        <v>0</v>
      </c>
      <c r="EJ73">
        <v>1</v>
      </c>
      <c r="EK73">
        <v>1001</v>
      </c>
      <c r="EL73" t="s">
        <v>109</v>
      </c>
      <c r="EM73" t="s">
        <v>30</v>
      </c>
      <c r="EQ73">
        <v>0</v>
      </c>
      <c r="ER73">
        <v>253.34</v>
      </c>
      <c r="ES73">
        <v>0</v>
      </c>
      <c r="ET73">
        <v>253.34</v>
      </c>
      <c r="EU73">
        <v>49.42</v>
      </c>
      <c r="EV73">
        <v>0</v>
      </c>
      <c r="EW73">
        <v>0</v>
      </c>
      <c r="EX73">
        <v>4.26</v>
      </c>
      <c r="EY73">
        <v>0</v>
      </c>
      <c r="FQ73">
        <v>0</v>
      </c>
      <c r="FR73">
        <f t="shared" si="56"/>
        <v>0</v>
      </c>
      <c r="FS73">
        <v>0</v>
      </c>
      <c r="FV73" t="s">
        <v>31</v>
      </c>
      <c r="FW73" t="s">
        <v>32</v>
      </c>
      <c r="FX73">
        <v>95</v>
      </c>
      <c r="FY73">
        <v>50</v>
      </c>
      <c r="GD73">
        <v>0</v>
      </c>
      <c r="GF73">
        <v>-1991523500</v>
      </c>
      <c r="GG73">
        <v>2</v>
      </c>
      <c r="GH73">
        <v>1</v>
      </c>
      <c r="GI73">
        <v>4</v>
      </c>
      <c r="GJ73">
        <v>0</v>
      </c>
      <c r="GK73">
        <f>ROUND(R73*(R12)/100,1)</f>
        <v>0</v>
      </c>
      <c r="GL73">
        <f t="shared" si="57"/>
        <v>0</v>
      </c>
      <c r="GM73">
        <f t="shared" si="58"/>
        <v>116.8</v>
      </c>
      <c r="GN73">
        <f t="shared" si="59"/>
        <v>116.8</v>
      </c>
      <c r="GO73">
        <f t="shared" si="60"/>
        <v>0</v>
      </c>
      <c r="GP73">
        <f t="shared" si="61"/>
        <v>0</v>
      </c>
      <c r="GR73">
        <v>0</v>
      </c>
      <c r="GS73">
        <v>3</v>
      </c>
      <c r="GT73">
        <v>0</v>
      </c>
      <c r="GV73">
        <f t="shared" si="62"/>
        <v>0</v>
      </c>
      <c r="GW73">
        <v>19.96</v>
      </c>
      <c r="GX73">
        <f t="shared" si="63"/>
        <v>0</v>
      </c>
      <c r="HA73">
        <v>0</v>
      </c>
      <c r="HB73">
        <v>0</v>
      </c>
      <c r="IK73">
        <v>0</v>
      </c>
    </row>
    <row r="74" spans="1:245" ht="12.75">
      <c r="A74">
        <v>18</v>
      </c>
      <c r="B74">
        <v>1</v>
      </c>
      <c r="C74">
        <v>18</v>
      </c>
      <c r="E74" t="s">
        <v>137</v>
      </c>
      <c r="F74" t="s">
        <v>138</v>
      </c>
      <c r="G74" t="s">
        <v>139</v>
      </c>
      <c r="H74" t="s">
        <v>140</v>
      </c>
      <c r="I74">
        <f>I73*J74</f>
        <v>39</v>
      </c>
      <c r="J74">
        <v>1000</v>
      </c>
      <c r="O74">
        <f t="shared" si="33"/>
        <v>12198.1</v>
      </c>
      <c r="P74">
        <f t="shared" si="34"/>
        <v>12198.1</v>
      </c>
      <c r="Q74">
        <f t="shared" si="35"/>
        <v>0</v>
      </c>
      <c r="R74">
        <f t="shared" si="36"/>
        <v>0</v>
      </c>
      <c r="S74">
        <f t="shared" si="37"/>
        <v>0</v>
      </c>
      <c r="T74">
        <f t="shared" si="38"/>
        <v>0</v>
      </c>
      <c r="U74">
        <f t="shared" si="39"/>
        <v>0</v>
      </c>
      <c r="V74">
        <f t="shared" si="40"/>
        <v>0</v>
      </c>
      <c r="W74">
        <f t="shared" si="41"/>
        <v>0</v>
      </c>
      <c r="X74">
        <f t="shared" si="42"/>
        <v>0</v>
      </c>
      <c r="Y74">
        <f t="shared" si="43"/>
        <v>0</v>
      </c>
      <c r="AA74">
        <v>42253831</v>
      </c>
      <c r="AB74">
        <f>ROUND((AC74+AD74+AF74),6)</f>
        <v>55.26</v>
      </c>
      <c r="AC74">
        <f t="shared" si="44"/>
        <v>55.26</v>
      </c>
      <c r="AD74">
        <f>ROUND((((ET74)-(EU74))+AE74),6)</f>
        <v>0</v>
      </c>
      <c r="AE74">
        <f t="shared" si="64"/>
        <v>0</v>
      </c>
      <c r="AF74">
        <f t="shared" si="66"/>
        <v>0</v>
      </c>
      <c r="AG74">
        <f t="shared" si="45"/>
        <v>0</v>
      </c>
      <c r="AH74">
        <f t="shared" si="67"/>
        <v>0</v>
      </c>
      <c r="AI74">
        <f t="shared" si="65"/>
        <v>0</v>
      </c>
      <c r="AJ74">
        <f t="shared" si="46"/>
        <v>0</v>
      </c>
      <c r="AK74">
        <v>55.26</v>
      </c>
      <c r="AL74">
        <v>55.26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80</v>
      </c>
      <c r="AU74">
        <v>45</v>
      </c>
      <c r="AV74">
        <v>1</v>
      </c>
      <c r="AW74">
        <v>1</v>
      </c>
      <c r="AZ74">
        <v>1</v>
      </c>
      <c r="BA74">
        <v>1</v>
      </c>
      <c r="BB74">
        <v>1</v>
      </c>
      <c r="BC74">
        <v>5.66</v>
      </c>
      <c r="BH74">
        <v>3</v>
      </c>
      <c r="BI74">
        <v>1</v>
      </c>
      <c r="BJ74" t="s">
        <v>141</v>
      </c>
      <c r="BM74">
        <v>500001</v>
      </c>
      <c r="BN74">
        <v>0</v>
      </c>
      <c r="BO74" t="s">
        <v>27</v>
      </c>
      <c r="BP74">
        <v>1</v>
      </c>
      <c r="BQ74">
        <v>8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Z74">
        <v>80</v>
      </c>
      <c r="CA74">
        <v>45</v>
      </c>
      <c r="CF74">
        <v>0</v>
      </c>
      <c r="CG74">
        <v>0</v>
      </c>
      <c r="CM74">
        <v>0</v>
      </c>
      <c r="CO74">
        <v>0</v>
      </c>
      <c r="CP74">
        <f t="shared" si="47"/>
        <v>12198.1</v>
      </c>
      <c r="CQ74">
        <f t="shared" si="48"/>
        <v>312.7716</v>
      </c>
      <c r="CR74">
        <f t="shared" si="49"/>
        <v>0</v>
      </c>
      <c r="CS74">
        <f t="shared" si="50"/>
        <v>0</v>
      </c>
      <c r="CT74">
        <f t="shared" si="51"/>
        <v>0</v>
      </c>
      <c r="CU74">
        <f t="shared" si="52"/>
        <v>0</v>
      </c>
      <c r="CV74">
        <f t="shared" si="53"/>
        <v>0</v>
      </c>
      <c r="CW74">
        <f t="shared" si="54"/>
        <v>0</v>
      </c>
      <c r="CX74">
        <f t="shared" si="55"/>
        <v>0</v>
      </c>
      <c r="CY74">
        <f>(((S74+R74)*AT74)/100)</f>
        <v>0</v>
      </c>
      <c r="CZ74">
        <f>(((S74+R74)*AU74)/100)</f>
        <v>0</v>
      </c>
      <c r="DN74">
        <v>0</v>
      </c>
      <c r="DO74">
        <v>0</v>
      </c>
      <c r="DP74">
        <v>1</v>
      </c>
      <c r="DQ74">
        <v>1</v>
      </c>
      <c r="DU74">
        <v>1007</v>
      </c>
      <c r="DV74" t="s">
        <v>140</v>
      </c>
      <c r="DW74" t="s">
        <v>140</v>
      </c>
      <c r="DX74">
        <v>1</v>
      </c>
      <c r="EE74">
        <v>39125306</v>
      </c>
      <c r="EF74">
        <v>8</v>
      </c>
      <c r="EG74" t="s">
        <v>142</v>
      </c>
      <c r="EH74">
        <v>0</v>
      </c>
      <c r="EJ74">
        <v>1</v>
      </c>
      <c r="EK74">
        <v>500001</v>
      </c>
      <c r="EL74" t="s">
        <v>143</v>
      </c>
      <c r="EM74" t="s">
        <v>144</v>
      </c>
      <c r="EQ74">
        <v>0</v>
      </c>
      <c r="ER74">
        <v>55.26</v>
      </c>
      <c r="ES74">
        <v>55.26</v>
      </c>
      <c r="ET74">
        <v>0</v>
      </c>
      <c r="EU74">
        <v>0</v>
      </c>
      <c r="EV74">
        <v>0</v>
      </c>
      <c r="EW74">
        <v>0</v>
      </c>
      <c r="EX74">
        <v>0</v>
      </c>
      <c r="FQ74">
        <v>0</v>
      </c>
      <c r="FR74">
        <f t="shared" si="56"/>
        <v>0</v>
      </c>
      <c r="FS74">
        <v>0</v>
      </c>
      <c r="FX74">
        <v>80</v>
      </c>
      <c r="FY74">
        <v>45</v>
      </c>
      <c r="GD74">
        <v>0</v>
      </c>
      <c r="GF74">
        <v>-35545874</v>
      </c>
      <c r="GG74">
        <v>2</v>
      </c>
      <c r="GH74">
        <v>1</v>
      </c>
      <c r="GI74">
        <v>4</v>
      </c>
      <c r="GJ74">
        <v>0</v>
      </c>
      <c r="GK74">
        <f>ROUND(R74*(R12)/100,1)</f>
        <v>0</v>
      </c>
      <c r="GL74">
        <f t="shared" si="57"/>
        <v>0</v>
      </c>
      <c r="GM74">
        <f t="shared" si="58"/>
        <v>12198.1</v>
      </c>
      <c r="GN74">
        <f t="shared" si="59"/>
        <v>12198.1</v>
      </c>
      <c r="GO74">
        <f t="shared" si="60"/>
        <v>0</v>
      </c>
      <c r="GP74">
        <f t="shared" si="61"/>
        <v>0</v>
      </c>
      <c r="GR74">
        <v>0</v>
      </c>
      <c r="GS74">
        <v>0</v>
      </c>
      <c r="GT74">
        <v>0</v>
      </c>
      <c r="GV74">
        <f t="shared" si="62"/>
        <v>0</v>
      </c>
      <c r="GW74">
        <v>1</v>
      </c>
      <c r="GX74">
        <f t="shared" si="63"/>
        <v>0</v>
      </c>
      <c r="HA74">
        <v>0</v>
      </c>
      <c r="HB74">
        <v>0</v>
      </c>
      <c r="IK74">
        <v>0</v>
      </c>
    </row>
    <row r="75" spans="1:245" ht="12.75">
      <c r="A75">
        <v>17</v>
      </c>
      <c r="B75">
        <v>1</v>
      </c>
      <c r="C75">
        <f>ROW(SmtRes!A22)</f>
        <v>22</v>
      </c>
      <c r="D75">
        <f>ROW(EtalonRes!A21)</f>
        <v>21</v>
      </c>
      <c r="E75" t="s">
        <v>145</v>
      </c>
      <c r="F75" t="s">
        <v>146</v>
      </c>
      <c r="G75" t="s">
        <v>147</v>
      </c>
      <c r="H75" t="s">
        <v>114</v>
      </c>
      <c r="I75">
        <f>ROUND(0.39,3)</f>
        <v>0.39</v>
      </c>
      <c r="J75">
        <v>0</v>
      </c>
      <c r="O75">
        <f t="shared" si="33"/>
        <v>1609.2</v>
      </c>
      <c r="P75">
        <f t="shared" si="34"/>
        <v>0</v>
      </c>
      <c r="Q75">
        <f t="shared" si="35"/>
        <v>777.2</v>
      </c>
      <c r="R75">
        <f t="shared" si="36"/>
        <v>238</v>
      </c>
      <c r="S75">
        <f t="shared" si="37"/>
        <v>832</v>
      </c>
      <c r="T75">
        <f t="shared" si="38"/>
        <v>0</v>
      </c>
      <c r="U75">
        <f t="shared" si="39"/>
        <v>4.8867</v>
      </c>
      <c r="V75">
        <f t="shared" si="40"/>
        <v>1.1856</v>
      </c>
      <c r="W75">
        <f t="shared" si="41"/>
        <v>0</v>
      </c>
      <c r="X75">
        <f t="shared" si="42"/>
        <v>866.7</v>
      </c>
      <c r="Y75">
        <f t="shared" si="43"/>
        <v>428</v>
      </c>
      <c r="AA75">
        <v>42253831</v>
      </c>
      <c r="AB75">
        <f>ROUND((AC75+AD75+AF75),6)</f>
        <v>387.18</v>
      </c>
      <c r="AC75">
        <f t="shared" si="44"/>
        <v>0</v>
      </c>
      <c r="AD75">
        <f>ROUND((((ET75)-(EU75))+AE75),6)</f>
        <v>280.3</v>
      </c>
      <c r="AE75">
        <f t="shared" si="64"/>
        <v>30.58</v>
      </c>
      <c r="AF75">
        <f t="shared" si="66"/>
        <v>106.88</v>
      </c>
      <c r="AG75">
        <f t="shared" si="45"/>
        <v>0</v>
      </c>
      <c r="AH75">
        <f t="shared" si="67"/>
        <v>12.53</v>
      </c>
      <c r="AI75">
        <f t="shared" si="65"/>
        <v>3.04</v>
      </c>
      <c r="AJ75">
        <f t="shared" si="46"/>
        <v>0</v>
      </c>
      <c r="AK75">
        <v>387.18</v>
      </c>
      <c r="AL75">
        <v>0</v>
      </c>
      <c r="AM75">
        <v>280.3</v>
      </c>
      <c r="AN75">
        <v>30.58</v>
      </c>
      <c r="AO75">
        <v>106.88</v>
      </c>
      <c r="AP75">
        <v>0</v>
      </c>
      <c r="AQ75">
        <v>12.53</v>
      </c>
      <c r="AR75">
        <v>3.04</v>
      </c>
      <c r="AS75">
        <v>0</v>
      </c>
      <c r="AT75">
        <v>81</v>
      </c>
      <c r="AU75">
        <v>40</v>
      </c>
      <c r="AV75">
        <v>1</v>
      </c>
      <c r="AW75">
        <v>1</v>
      </c>
      <c r="AZ75">
        <v>1</v>
      </c>
      <c r="BA75">
        <v>19.96</v>
      </c>
      <c r="BB75">
        <v>7.11</v>
      </c>
      <c r="BC75">
        <v>5.66</v>
      </c>
      <c r="BH75">
        <v>0</v>
      </c>
      <c r="BI75">
        <v>1</v>
      </c>
      <c r="BJ75" t="s">
        <v>148</v>
      </c>
      <c r="BM75">
        <v>1002</v>
      </c>
      <c r="BN75">
        <v>0</v>
      </c>
      <c r="BO75" t="s">
        <v>27</v>
      </c>
      <c r="BP75">
        <v>1</v>
      </c>
      <c r="BQ75">
        <v>2</v>
      </c>
      <c r="BR75">
        <v>0</v>
      </c>
      <c r="BS75">
        <v>19.96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95</v>
      </c>
      <c r="CA75">
        <v>50</v>
      </c>
      <c r="CF75">
        <v>0</v>
      </c>
      <c r="CG75">
        <v>0</v>
      </c>
      <c r="CM75">
        <v>0</v>
      </c>
      <c r="CO75">
        <v>0</v>
      </c>
      <c r="CP75">
        <f t="shared" si="47"/>
        <v>1609.2</v>
      </c>
      <c r="CQ75">
        <f t="shared" si="48"/>
        <v>0</v>
      </c>
      <c r="CR75">
        <f t="shared" si="49"/>
        <v>1992.9330000000002</v>
      </c>
      <c r="CS75">
        <f t="shared" si="50"/>
        <v>610.3768</v>
      </c>
      <c r="CT75">
        <f t="shared" si="51"/>
        <v>2133.3248</v>
      </c>
      <c r="CU75">
        <f t="shared" si="52"/>
        <v>0</v>
      </c>
      <c r="CV75">
        <f t="shared" si="53"/>
        <v>12.53</v>
      </c>
      <c r="CW75">
        <f t="shared" si="54"/>
        <v>3.04</v>
      </c>
      <c r="CX75">
        <f t="shared" si="55"/>
        <v>0</v>
      </c>
      <c r="CY75">
        <f>(((S75+R75)*AT75)/100)</f>
        <v>866.7</v>
      </c>
      <c r="CZ75">
        <f>(((S75+R75)*AU75)/100)</f>
        <v>428</v>
      </c>
      <c r="DN75">
        <v>0</v>
      </c>
      <c r="DO75">
        <v>0</v>
      </c>
      <c r="DP75">
        <v>1</v>
      </c>
      <c r="DQ75">
        <v>1</v>
      </c>
      <c r="DU75">
        <v>1007</v>
      </c>
      <c r="DV75" t="s">
        <v>114</v>
      </c>
      <c r="DW75" t="s">
        <v>114</v>
      </c>
      <c r="DX75">
        <v>100</v>
      </c>
      <c r="EE75">
        <v>39125348</v>
      </c>
      <c r="EF75">
        <v>2</v>
      </c>
      <c r="EG75" t="s">
        <v>28</v>
      </c>
      <c r="EH75">
        <v>0</v>
      </c>
      <c r="EJ75">
        <v>1</v>
      </c>
      <c r="EK75">
        <v>1002</v>
      </c>
      <c r="EL75" t="s">
        <v>109</v>
      </c>
      <c r="EM75" t="s">
        <v>30</v>
      </c>
      <c r="EQ75">
        <v>0</v>
      </c>
      <c r="ER75">
        <v>387.18</v>
      </c>
      <c r="ES75">
        <v>0</v>
      </c>
      <c r="ET75">
        <v>280.3</v>
      </c>
      <c r="EU75">
        <v>30.58</v>
      </c>
      <c r="EV75">
        <v>106.88</v>
      </c>
      <c r="EW75">
        <v>12.53</v>
      </c>
      <c r="EX75">
        <v>3.04</v>
      </c>
      <c r="EY75">
        <v>0</v>
      </c>
      <c r="FQ75">
        <v>0</v>
      </c>
      <c r="FR75">
        <f t="shared" si="56"/>
        <v>0</v>
      </c>
      <c r="FS75">
        <v>0</v>
      </c>
      <c r="FV75" t="s">
        <v>31</v>
      </c>
      <c r="FW75" t="s">
        <v>32</v>
      </c>
      <c r="FX75">
        <v>95</v>
      </c>
      <c r="FY75">
        <v>50</v>
      </c>
      <c r="GD75">
        <v>0</v>
      </c>
      <c r="GF75">
        <v>-1681915118</v>
      </c>
      <c r="GG75">
        <v>2</v>
      </c>
      <c r="GH75">
        <v>1</v>
      </c>
      <c r="GI75">
        <v>4</v>
      </c>
      <c r="GJ75">
        <v>0</v>
      </c>
      <c r="GK75">
        <f>ROUND(R75*(R12)/100,1)</f>
        <v>0</v>
      </c>
      <c r="GL75">
        <f t="shared" si="57"/>
        <v>0</v>
      </c>
      <c r="GM75">
        <f t="shared" si="58"/>
        <v>2903.9</v>
      </c>
      <c r="GN75">
        <f t="shared" si="59"/>
        <v>2903.9</v>
      </c>
      <c r="GO75">
        <f t="shared" si="60"/>
        <v>0</v>
      </c>
      <c r="GP75">
        <f t="shared" si="61"/>
        <v>0</v>
      </c>
      <c r="GR75">
        <v>0</v>
      </c>
      <c r="GS75">
        <v>3</v>
      </c>
      <c r="GT75">
        <v>0</v>
      </c>
      <c r="GV75">
        <f t="shared" si="62"/>
        <v>0</v>
      </c>
      <c r="GW75">
        <v>19.96</v>
      </c>
      <c r="GX75">
        <f t="shared" si="63"/>
        <v>0</v>
      </c>
      <c r="HA75">
        <v>0</v>
      </c>
      <c r="HB75">
        <v>0</v>
      </c>
      <c r="IK75">
        <v>0</v>
      </c>
    </row>
    <row r="77" spans="1:206" ht="12.75">
      <c r="A77" s="2">
        <v>51</v>
      </c>
      <c r="B77" s="2">
        <f>B63</f>
        <v>1</v>
      </c>
      <c r="C77" s="2">
        <f>A63</f>
        <v>4</v>
      </c>
      <c r="D77" s="2">
        <f>ROW(A63)</f>
        <v>63</v>
      </c>
      <c r="E77" s="2"/>
      <c r="F77" s="2" t="str">
        <f>IF(F63&lt;&gt;"",F63,"")</f>
        <v>Новый раздел</v>
      </c>
      <c r="G77" s="2" t="str">
        <f>IF(G63&lt;&gt;"",G63,"")</f>
        <v>Разработка котлована под ТП -117,9 м3. Обратная засыпка песком с послойной трамбовкой -38,9 м3</v>
      </c>
      <c r="H77" s="2">
        <v>0</v>
      </c>
      <c r="I77" s="2"/>
      <c r="J77" s="2"/>
      <c r="K77" s="2"/>
      <c r="L77" s="2"/>
      <c r="M77" s="2"/>
      <c r="N77" s="2"/>
      <c r="O77" s="2">
        <f aca="true" t="shared" si="68" ref="O77:T77">ROUND(AB77,1)</f>
        <v>46477.2</v>
      </c>
      <c r="P77" s="2">
        <f t="shared" si="68"/>
        <v>12203.9</v>
      </c>
      <c r="Q77" s="2">
        <f t="shared" si="68"/>
        <v>20001.4</v>
      </c>
      <c r="R77" s="2">
        <f t="shared" si="68"/>
        <v>1861.2</v>
      </c>
      <c r="S77" s="2">
        <f t="shared" si="68"/>
        <v>14271.9</v>
      </c>
      <c r="T77" s="2">
        <f t="shared" si="68"/>
        <v>0</v>
      </c>
      <c r="U77" s="2">
        <f>AH77</f>
        <v>92.0267716</v>
      </c>
      <c r="V77" s="2">
        <f>AI77</f>
        <v>7.276088400000001</v>
      </c>
      <c r="W77" s="2">
        <f>ROUND(AJ77,1)</f>
        <v>0</v>
      </c>
      <c r="X77" s="2">
        <f>ROUND(AK77,1)</f>
        <v>11365.3</v>
      </c>
      <c r="Y77" s="2">
        <f>ROUND(AL77,1)</f>
        <v>5929.3</v>
      </c>
      <c r="Z77" s="2"/>
      <c r="AA77" s="2"/>
      <c r="AB77" s="2">
        <f>ROUND(SUMIF(AA67:AA75,"=42253831",O67:O75),1)</f>
        <v>46477.2</v>
      </c>
      <c r="AC77" s="2">
        <f>ROUND(SUMIF(AA67:AA75,"=42253831",P67:P75),1)</f>
        <v>12203.9</v>
      </c>
      <c r="AD77" s="2">
        <f>ROUND(SUMIF(AA67:AA75,"=42253831",Q67:Q75),1)</f>
        <v>20001.4</v>
      </c>
      <c r="AE77" s="2">
        <f>ROUND(SUMIF(AA67:AA75,"=42253831",R67:R75),1)</f>
        <v>1861.2</v>
      </c>
      <c r="AF77" s="2">
        <f>ROUND(SUMIF(AA67:AA75,"=42253831",S67:S75),1)</f>
        <v>14271.9</v>
      </c>
      <c r="AG77" s="2">
        <f>ROUND(SUMIF(AA67:AA75,"=42253831",T67:T75),1)</f>
        <v>0</v>
      </c>
      <c r="AH77" s="2">
        <f>SUMIF(AA67:AA75,"=42253831",U67:U75)</f>
        <v>92.0267716</v>
      </c>
      <c r="AI77" s="2">
        <f>SUMIF(AA67:AA75,"=42253831",V67:V75)</f>
        <v>7.276088400000001</v>
      </c>
      <c r="AJ77" s="2">
        <f>ROUND(SUMIF(AA67:AA75,"=42253831",W67:W75),1)</f>
        <v>0</v>
      </c>
      <c r="AK77" s="2">
        <f>ROUND(SUMIF(AA67:AA75,"=42253831",X67:X75),1)</f>
        <v>11365.3</v>
      </c>
      <c r="AL77" s="2">
        <f>ROUND(SUMIF(AA67:AA75,"=42253831",Y67:Y75),1)</f>
        <v>5929.3</v>
      </c>
      <c r="AM77" s="2"/>
      <c r="AN77" s="2"/>
      <c r="AO77" s="2">
        <f aca="true" t="shared" si="69" ref="AO77:BC77">ROUND(BX77,1)</f>
        <v>0</v>
      </c>
      <c r="AP77" s="2">
        <f t="shared" si="69"/>
        <v>0</v>
      </c>
      <c r="AQ77" s="2">
        <f t="shared" si="69"/>
        <v>0</v>
      </c>
      <c r="AR77" s="2">
        <f t="shared" si="69"/>
        <v>63771.8</v>
      </c>
      <c r="AS77" s="2">
        <f t="shared" si="69"/>
        <v>63771.8</v>
      </c>
      <c r="AT77" s="2">
        <f t="shared" si="69"/>
        <v>0</v>
      </c>
      <c r="AU77" s="2">
        <f t="shared" si="69"/>
        <v>0</v>
      </c>
      <c r="AV77" s="2">
        <f t="shared" si="69"/>
        <v>12203.9</v>
      </c>
      <c r="AW77" s="2">
        <f t="shared" si="69"/>
        <v>12203.9</v>
      </c>
      <c r="AX77" s="2">
        <f t="shared" si="69"/>
        <v>0</v>
      </c>
      <c r="AY77" s="2">
        <f t="shared" si="69"/>
        <v>12203.9</v>
      </c>
      <c r="AZ77" s="2">
        <f t="shared" si="69"/>
        <v>0</v>
      </c>
      <c r="BA77" s="2">
        <f t="shared" si="69"/>
        <v>0</v>
      </c>
      <c r="BB77" s="2">
        <f t="shared" si="69"/>
        <v>0</v>
      </c>
      <c r="BC77" s="2">
        <f t="shared" si="69"/>
        <v>0</v>
      </c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>
        <f>ROUND(SUMIF(AA67:AA75,"=42253831",FQ67:FQ75),1)</f>
        <v>0</v>
      </c>
      <c r="BY77" s="2">
        <f>ROUND(SUMIF(AA67:AA75,"=42253831",FR67:FR75),1)</f>
        <v>0</v>
      </c>
      <c r="BZ77" s="2">
        <f>ROUND(SUMIF(AA67:AA75,"=42253831",GL67:GL75),1)</f>
        <v>0</v>
      </c>
      <c r="CA77" s="2">
        <f>ROUND(SUMIF(AA67:AA75,"=42253831",GM67:GM75),1)</f>
        <v>63771.8</v>
      </c>
      <c r="CB77" s="2">
        <f>ROUND(SUMIF(AA67:AA75,"=42253831",GN67:GN75),1)</f>
        <v>63771.8</v>
      </c>
      <c r="CC77" s="2">
        <f>ROUND(SUMIF(AA67:AA75,"=42253831",GO67:GO75),1)</f>
        <v>0</v>
      </c>
      <c r="CD77" s="2">
        <f>ROUND(SUMIF(AA67:AA75,"=42253831",GP67:GP75),1)</f>
        <v>0</v>
      </c>
      <c r="CE77" s="2">
        <f>AC77-BX77</f>
        <v>12203.9</v>
      </c>
      <c r="CF77" s="2">
        <f>AC77-BY77</f>
        <v>12203.9</v>
      </c>
      <c r="CG77" s="2">
        <f>BX77-BZ77</f>
        <v>0</v>
      </c>
      <c r="CH77" s="2">
        <f>AC77-BX77-BY77+BZ77</f>
        <v>12203.9</v>
      </c>
      <c r="CI77" s="2">
        <f>BY77-BZ77</f>
        <v>0</v>
      </c>
      <c r="CJ77" s="2">
        <f>ROUND(SUMIF(AA67:AA75,"=42253831",GX67:GX75),1)</f>
        <v>0</v>
      </c>
      <c r="CK77" s="2">
        <f>ROUND(SUMIF(AA67:AA75,"=42253831",GY67:GY75),1)</f>
        <v>0</v>
      </c>
      <c r="CL77" s="2">
        <f>ROUND(SUMIF(AA67:AA75,"=42253831",GZ67:GZ75),1)</f>
        <v>0</v>
      </c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>
        <v>0</v>
      </c>
    </row>
    <row r="79" spans="1:23" ht="12.75">
      <c r="A79" s="4">
        <v>50</v>
      </c>
      <c r="B79" s="4">
        <v>1</v>
      </c>
      <c r="C79" s="4">
        <v>0</v>
      </c>
      <c r="D79" s="4">
        <v>1</v>
      </c>
      <c r="E79" s="4">
        <v>201</v>
      </c>
      <c r="F79" s="4">
        <f>ROUND(Source!O77,O79)</f>
        <v>46477.2</v>
      </c>
      <c r="G79" s="4" t="s">
        <v>50</v>
      </c>
      <c r="H79" s="4" t="s">
        <v>51</v>
      </c>
      <c r="I79" s="4"/>
      <c r="J79" s="4"/>
      <c r="K79" s="4">
        <v>201</v>
      </c>
      <c r="L79" s="4">
        <v>1</v>
      </c>
      <c r="M79" s="4">
        <v>0</v>
      </c>
      <c r="N79" s="4" t="s">
        <v>3</v>
      </c>
      <c r="O79" s="4">
        <v>1</v>
      </c>
      <c r="P79" s="4"/>
      <c r="Q79" s="4"/>
      <c r="R79" s="4"/>
      <c r="S79" s="4"/>
      <c r="T79" s="4"/>
      <c r="U79" s="4"/>
      <c r="V79" s="4"/>
      <c r="W79" s="4"/>
    </row>
    <row r="80" spans="1:23" ht="12.75">
      <c r="A80" s="4">
        <v>50</v>
      </c>
      <c r="B80" s="4">
        <v>1</v>
      </c>
      <c r="C80" s="4">
        <v>0</v>
      </c>
      <c r="D80" s="4">
        <v>1</v>
      </c>
      <c r="E80" s="4">
        <v>202</v>
      </c>
      <c r="F80" s="4">
        <f>ROUND(Source!P77,O80)</f>
        <v>12203.9</v>
      </c>
      <c r="G80" s="4" t="s">
        <v>52</v>
      </c>
      <c r="H80" s="4" t="s">
        <v>53</v>
      </c>
      <c r="I80" s="4"/>
      <c r="J80" s="4"/>
      <c r="K80" s="4">
        <v>202</v>
      </c>
      <c r="L80" s="4">
        <v>2</v>
      </c>
      <c r="M80" s="4">
        <v>0</v>
      </c>
      <c r="N80" s="4" t="s">
        <v>3</v>
      </c>
      <c r="O80" s="4">
        <v>1</v>
      </c>
      <c r="P80" s="4"/>
      <c r="Q80" s="4"/>
      <c r="R80" s="4"/>
      <c r="S80" s="4"/>
      <c r="T80" s="4"/>
      <c r="U80" s="4"/>
      <c r="V80" s="4"/>
      <c r="W80" s="4"/>
    </row>
    <row r="81" spans="1:23" ht="12.75">
      <c r="A81" s="4">
        <v>50</v>
      </c>
      <c r="B81" s="4">
        <v>0</v>
      </c>
      <c r="C81" s="4">
        <v>0</v>
      </c>
      <c r="D81" s="4">
        <v>1</v>
      </c>
      <c r="E81" s="4">
        <v>222</v>
      </c>
      <c r="F81" s="4">
        <f>ROUND(Source!AO77,O81)</f>
        <v>0</v>
      </c>
      <c r="G81" s="4" t="s">
        <v>54</v>
      </c>
      <c r="H81" s="4" t="s">
        <v>55</v>
      </c>
      <c r="I81" s="4"/>
      <c r="J81" s="4"/>
      <c r="K81" s="4">
        <v>222</v>
      </c>
      <c r="L81" s="4">
        <v>3</v>
      </c>
      <c r="M81" s="4">
        <v>3</v>
      </c>
      <c r="N81" s="4" t="s">
        <v>3</v>
      </c>
      <c r="O81" s="4">
        <v>1</v>
      </c>
      <c r="P81" s="4"/>
      <c r="Q81" s="4"/>
      <c r="R81" s="4"/>
      <c r="S81" s="4"/>
      <c r="T81" s="4"/>
      <c r="U81" s="4"/>
      <c r="V81" s="4"/>
      <c r="W81" s="4"/>
    </row>
    <row r="82" spans="1:23" ht="12.75">
      <c r="A82" s="4">
        <v>50</v>
      </c>
      <c r="B82" s="4">
        <v>0</v>
      </c>
      <c r="C82" s="4">
        <v>0</v>
      </c>
      <c r="D82" s="4">
        <v>1</v>
      </c>
      <c r="E82" s="4">
        <v>225</v>
      </c>
      <c r="F82" s="4">
        <f>ROUND(Source!AV77,O82)</f>
        <v>12203.9</v>
      </c>
      <c r="G82" s="4" t="s">
        <v>56</v>
      </c>
      <c r="H82" s="4" t="s">
        <v>57</v>
      </c>
      <c r="I82" s="4"/>
      <c r="J82" s="4"/>
      <c r="K82" s="4">
        <v>225</v>
      </c>
      <c r="L82" s="4">
        <v>4</v>
      </c>
      <c r="M82" s="4">
        <v>3</v>
      </c>
      <c r="N82" s="4" t="s">
        <v>3</v>
      </c>
      <c r="O82" s="4">
        <v>1</v>
      </c>
      <c r="P82" s="4"/>
      <c r="Q82" s="4"/>
      <c r="R82" s="4"/>
      <c r="S82" s="4"/>
      <c r="T82" s="4"/>
      <c r="U82" s="4"/>
      <c r="V82" s="4"/>
      <c r="W82" s="4"/>
    </row>
    <row r="83" spans="1:23" ht="12.75">
      <c r="A83" s="4">
        <v>50</v>
      </c>
      <c r="B83" s="4">
        <v>1</v>
      </c>
      <c r="C83" s="4">
        <v>0</v>
      </c>
      <c r="D83" s="4">
        <v>1</v>
      </c>
      <c r="E83" s="4">
        <v>226</v>
      </c>
      <c r="F83" s="4">
        <f>ROUND(Source!AW77,O83)</f>
        <v>12203.9</v>
      </c>
      <c r="G83" s="4" t="s">
        <v>58</v>
      </c>
      <c r="H83" s="4" t="s">
        <v>59</v>
      </c>
      <c r="I83" s="4"/>
      <c r="J83" s="4"/>
      <c r="K83" s="4">
        <v>226</v>
      </c>
      <c r="L83" s="4">
        <v>5</v>
      </c>
      <c r="M83" s="4">
        <v>0</v>
      </c>
      <c r="N83" s="4" t="s">
        <v>3</v>
      </c>
      <c r="O83" s="4">
        <v>1</v>
      </c>
      <c r="P83" s="4"/>
      <c r="Q83" s="4"/>
      <c r="R83" s="4"/>
      <c r="S83" s="4"/>
      <c r="T83" s="4"/>
      <c r="U83" s="4"/>
      <c r="V83" s="4"/>
      <c r="W83" s="4"/>
    </row>
    <row r="84" spans="1:23" ht="12.75">
      <c r="A84" s="4">
        <v>50</v>
      </c>
      <c r="B84" s="4">
        <v>0</v>
      </c>
      <c r="C84" s="4">
        <v>0</v>
      </c>
      <c r="D84" s="4">
        <v>1</v>
      </c>
      <c r="E84" s="4">
        <v>227</v>
      </c>
      <c r="F84" s="4">
        <f>ROUND(Source!AX77,O84)</f>
        <v>0</v>
      </c>
      <c r="G84" s="4" t="s">
        <v>60</v>
      </c>
      <c r="H84" s="4" t="s">
        <v>61</v>
      </c>
      <c r="I84" s="4"/>
      <c r="J84" s="4"/>
      <c r="K84" s="4">
        <v>227</v>
      </c>
      <c r="L84" s="4">
        <v>6</v>
      </c>
      <c r="M84" s="4">
        <v>3</v>
      </c>
      <c r="N84" s="4" t="s">
        <v>3</v>
      </c>
      <c r="O84" s="4">
        <v>1</v>
      </c>
      <c r="P84" s="4"/>
      <c r="Q84" s="4"/>
      <c r="R84" s="4"/>
      <c r="S84" s="4"/>
      <c r="T84" s="4"/>
      <c r="U84" s="4"/>
      <c r="V84" s="4"/>
      <c r="W84" s="4"/>
    </row>
    <row r="85" spans="1:23" ht="12.75">
      <c r="A85" s="4">
        <v>50</v>
      </c>
      <c r="B85" s="4">
        <v>0</v>
      </c>
      <c r="C85" s="4">
        <v>0</v>
      </c>
      <c r="D85" s="4">
        <v>1</v>
      </c>
      <c r="E85" s="4">
        <v>228</v>
      </c>
      <c r="F85" s="4">
        <f>ROUND(Source!AY77,O85)</f>
        <v>12203.9</v>
      </c>
      <c r="G85" s="4" t="s">
        <v>62</v>
      </c>
      <c r="H85" s="4" t="s">
        <v>63</v>
      </c>
      <c r="I85" s="4"/>
      <c r="J85" s="4"/>
      <c r="K85" s="4">
        <v>228</v>
      </c>
      <c r="L85" s="4">
        <v>7</v>
      </c>
      <c r="M85" s="4">
        <v>3</v>
      </c>
      <c r="N85" s="4" t="s">
        <v>3</v>
      </c>
      <c r="O85" s="4">
        <v>1</v>
      </c>
      <c r="P85" s="4"/>
      <c r="Q85" s="4"/>
      <c r="R85" s="4"/>
      <c r="S85" s="4"/>
      <c r="T85" s="4"/>
      <c r="U85" s="4"/>
      <c r="V85" s="4"/>
      <c r="W85" s="4"/>
    </row>
    <row r="86" spans="1:23" ht="12.75">
      <c r="A86" s="4">
        <v>50</v>
      </c>
      <c r="B86" s="4">
        <v>0</v>
      </c>
      <c r="C86" s="4">
        <v>0</v>
      </c>
      <c r="D86" s="4">
        <v>1</v>
      </c>
      <c r="E86" s="4">
        <v>216</v>
      </c>
      <c r="F86" s="4">
        <f>ROUND(Source!AP77,O86)</f>
        <v>0</v>
      </c>
      <c r="G86" s="4" t="s">
        <v>64</v>
      </c>
      <c r="H86" s="4" t="s">
        <v>65</v>
      </c>
      <c r="I86" s="4"/>
      <c r="J86" s="4"/>
      <c r="K86" s="4">
        <v>216</v>
      </c>
      <c r="L86" s="4">
        <v>8</v>
      </c>
      <c r="M86" s="4">
        <v>3</v>
      </c>
      <c r="N86" s="4" t="s">
        <v>3</v>
      </c>
      <c r="O86" s="4">
        <v>1</v>
      </c>
      <c r="P86" s="4"/>
      <c r="Q86" s="4"/>
      <c r="R86" s="4"/>
      <c r="S86" s="4"/>
      <c r="T86" s="4"/>
      <c r="U86" s="4"/>
      <c r="V86" s="4"/>
      <c r="W86" s="4"/>
    </row>
    <row r="87" spans="1:23" ht="12.75">
      <c r="A87" s="4">
        <v>50</v>
      </c>
      <c r="B87" s="4">
        <v>0</v>
      </c>
      <c r="C87" s="4">
        <v>0</v>
      </c>
      <c r="D87" s="4">
        <v>1</v>
      </c>
      <c r="E87" s="4">
        <v>223</v>
      </c>
      <c r="F87" s="4">
        <f>ROUND(Source!AQ77,O87)</f>
        <v>0</v>
      </c>
      <c r="G87" s="4" t="s">
        <v>66</v>
      </c>
      <c r="H87" s="4" t="s">
        <v>67</v>
      </c>
      <c r="I87" s="4"/>
      <c r="J87" s="4"/>
      <c r="K87" s="4">
        <v>223</v>
      </c>
      <c r="L87" s="4">
        <v>9</v>
      </c>
      <c r="M87" s="4">
        <v>3</v>
      </c>
      <c r="N87" s="4" t="s">
        <v>3</v>
      </c>
      <c r="O87" s="4">
        <v>1</v>
      </c>
      <c r="P87" s="4"/>
      <c r="Q87" s="4"/>
      <c r="R87" s="4"/>
      <c r="S87" s="4"/>
      <c r="T87" s="4"/>
      <c r="U87" s="4"/>
      <c r="V87" s="4"/>
      <c r="W87" s="4"/>
    </row>
    <row r="88" spans="1:23" ht="12.75">
      <c r="A88" s="4">
        <v>50</v>
      </c>
      <c r="B88" s="4">
        <v>1</v>
      </c>
      <c r="C88" s="4">
        <v>0</v>
      </c>
      <c r="D88" s="4">
        <v>1</v>
      </c>
      <c r="E88" s="4">
        <v>229</v>
      </c>
      <c r="F88" s="4">
        <f>ROUND(Source!AZ77,O88)</f>
        <v>0</v>
      </c>
      <c r="G88" s="4" t="s">
        <v>68</v>
      </c>
      <c r="H88" s="4" t="s">
        <v>69</v>
      </c>
      <c r="I88" s="4"/>
      <c r="J88" s="4"/>
      <c r="K88" s="4">
        <v>229</v>
      </c>
      <c r="L88" s="4">
        <v>10</v>
      </c>
      <c r="M88" s="4">
        <v>0</v>
      </c>
      <c r="N88" s="4" t="s">
        <v>3</v>
      </c>
      <c r="O88" s="4">
        <v>1</v>
      </c>
      <c r="P88" s="4"/>
      <c r="Q88" s="4"/>
      <c r="R88" s="4"/>
      <c r="S88" s="4"/>
      <c r="T88" s="4"/>
      <c r="U88" s="4"/>
      <c r="V88" s="4"/>
      <c r="W88" s="4"/>
    </row>
    <row r="89" spans="1:23" ht="12.75">
      <c r="A89" s="4">
        <v>50</v>
      </c>
      <c r="B89" s="4">
        <v>1</v>
      </c>
      <c r="C89" s="4">
        <v>0</v>
      </c>
      <c r="D89" s="4">
        <v>1</v>
      </c>
      <c r="E89" s="4">
        <v>203</v>
      </c>
      <c r="F89" s="4">
        <f>ROUND(Source!Q77,O89)</f>
        <v>20001.4</v>
      </c>
      <c r="G89" s="4" t="s">
        <v>70</v>
      </c>
      <c r="H89" s="4" t="s">
        <v>71</v>
      </c>
      <c r="I89" s="4"/>
      <c r="J89" s="4"/>
      <c r="K89" s="4">
        <v>203</v>
      </c>
      <c r="L89" s="4">
        <v>11</v>
      </c>
      <c r="M89" s="4">
        <v>0</v>
      </c>
      <c r="N89" s="4" t="s">
        <v>3</v>
      </c>
      <c r="O89" s="4">
        <v>1</v>
      </c>
      <c r="P89" s="4"/>
      <c r="Q89" s="4"/>
      <c r="R89" s="4"/>
      <c r="S89" s="4"/>
      <c r="T89" s="4"/>
      <c r="U89" s="4"/>
      <c r="V89" s="4"/>
      <c r="W89" s="4"/>
    </row>
    <row r="90" spans="1:23" ht="12.75">
      <c r="A90" s="4">
        <v>50</v>
      </c>
      <c r="B90" s="4">
        <v>0</v>
      </c>
      <c r="C90" s="4">
        <v>0</v>
      </c>
      <c r="D90" s="4">
        <v>1</v>
      </c>
      <c r="E90" s="4">
        <v>231</v>
      </c>
      <c r="F90" s="4">
        <f>ROUND(Source!BB77,O90)</f>
        <v>0</v>
      </c>
      <c r="G90" s="4" t="s">
        <v>72</v>
      </c>
      <c r="H90" s="4" t="s">
        <v>73</v>
      </c>
      <c r="I90" s="4"/>
      <c r="J90" s="4"/>
      <c r="K90" s="4">
        <v>231</v>
      </c>
      <c r="L90" s="4">
        <v>12</v>
      </c>
      <c r="M90" s="4">
        <v>3</v>
      </c>
      <c r="N90" s="4" t="s">
        <v>3</v>
      </c>
      <c r="O90" s="4">
        <v>1</v>
      </c>
      <c r="P90" s="4"/>
      <c r="Q90" s="4"/>
      <c r="R90" s="4"/>
      <c r="S90" s="4"/>
      <c r="T90" s="4"/>
      <c r="U90" s="4"/>
      <c r="V90" s="4"/>
      <c r="W90" s="4"/>
    </row>
    <row r="91" spans="1:23" ht="12.75">
      <c r="A91" s="4">
        <v>50</v>
      </c>
      <c r="B91" s="4">
        <v>1</v>
      </c>
      <c r="C91" s="4">
        <v>0</v>
      </c>
      <c r="D91" s="4">
        <v>1</v>
      </c>
      <c r="E91" s="4">
        <v>204</v>
      </c>
      <c r="F91" s="4">
        <f>ROUND(Source!R77,O91)</f>
        <v>1861.2</v>
      </c>
      <c r="G91" s="4" t="s">
        <v>74</v>
      </c>
      <c r="H91" s="4" t="s">
        <v>75</v>
      </c>
      <c r="I91" s="4"/>
      <c r="J91" s="4"/>
      <c r="K91" s="4">
        <v>204</v>
      </c>
      <c r="L91" s="4">
        <v>13</v>
      </c>
      <c r="M91" s="4">
        <v>0</v>
      </c>
      <c r="N91" s="4" t="s">
        <v>3</v>
      </c>
      <c r="O91" s="4">
        <v>1</v>
      </c>
      <c r="P91" s="4"/>
      <c r="Q91" s="4"/>
      <c r="R91" s="4"/>
      <c r="S91" s="4"/>
      <c r="T91" s="4"/>
      <c r="U91" s="4"/>
      <c r="V91" s="4"/>
      <c r="W91" s="4"/>
    </row>
    <row r="92" spans="1:23" ht="12.75">
      <c r="A92" s="4">
        <v>50</v>
      </c>
      <c r="B92" s="4">
        <v>1</v>
      </c>
      <c r="C92" s="4">
        <v>0</v>
      </c>
      <c r="D92" s="4">
        <v>1</v>
      </c>
      <c r="E92" s="4">
        <v>205</v>
      </c>
      <c r="F92" s="4">
        <f>ROUND(Source!S77,O92)</f>
        <v>14271.9</v>
      </c>
      <c r="G92" s="4" t="s">
        <v>76</v>
      </c>
      <c r="H92" s="4" t="s">
        <v>77</v>
      </c>
      <c r="I92" s="4"/>
      <c r="J92" s="4"/>
      <c r="K92" s="4">
        <v>205</v>
      </c>
      <c r="L92" s="4">
        <v>14</v>
      </c>
      <c r="M92" s="4">
        <v>0</v>
      </c>
      <c r="N92" s="4" t="s">
        <v>3</v>
      </c>
      <c r="O92" s="4">
        <v>1</v>
      </c>
      <c r="P92" s="4"/>
      <c r="Q92" s="4"/>
      <c r="R92" s="4"/>
      <c r="S92" s="4"/>
      <c r="T92" s="4"/>
      <c r="U92" s="4"/>
      <c r="V92" s="4"/>
      <c r="W92" s="4"/>
    </row>
    <row r="93" spans="1:23" ht="12.75">
      <c r="A93" s="4">
        <v>50</v>
      </c>
      <c r="B93" s="4">
        <v>0</v>
      </c>
      <c r="C93" s="4">
        <v>0</v>
      </c>
      <c r="D93" s="4">
        <v>1</v>
      </c>
      <c r="E93" s="4">
        <v>232</v>
      </c>
      <c r="F93" s="4">
        <f>ROUND(Source!BC77,O93)</f>
        <v>0</v>
      </c>
      <c r="G93" s="4" t="s">
        <v>78</v>
      </c>
      <c r="H93" s="4" t="s">
        <v>79</v>
      </c>
      <c r="I93" s="4"/>
      <c r="J93" s="4"/>
      <c r="K93" s="4">
        <v>232</v>
      </c>
      <c r="L93" s="4">
        <v>15</v>
      </c>
      <c r="M93" s="4">
        <v>3</v>
      </c>
      <c r="N93" s="4" t="s">
        <v>3</v>
      </c>
      <c r="O93" s="4">
        <v>1</v>
      </c>
      <c r="P93" s="4"/>
      <c r="Q93" s="4"/>
      <c r="R93" s="4"/>
      <c r="S93" s="4"/>
      <c r="T93" s="4"/>
      <c r="U93" s="4"/>
      <c r="V93" s="4"/>
      <c r="W93" s="4"/>
    </row>
    <row r="94" spans="1:23" ht="12.75">
      <c r="A94" s="4">
        <v>50</v>
      </c>
      <c r="B94" s="4">
        <v>1</v>
      </c>
      <c r="C94" s="4">
        <v>0</v>
      </c>
      <c r="D94" s="4">
        <v>1</v>
      </c>
      <c r="E94" s="4">
        <v>214</v>
      </c>
      <c r="F94" s="4">
        <f>ROUND(Source!AS77,O94)</f>
        <v>63771.8</v>
      </c>
      <c r="G94" s="4" t="s">
        <v>80</v>
      </c>
      <c r="H94" s="4" t="s">
        <v>81</v>
      </c>
      <c r="I94" s="4"/>
      <c r="J94" s="4"/>
      <c r="K94" s="4">
        <v>214</v>
      </c>
      <c r="L94" s="4">
        <v>16</v>
      </c>
      <c r="M94" s="4">
        <v>0</v>
      </c>
      <c r="N94" s="4" t="s">
        <v>3</v>
      </c>
      <c r="O94" s="4">
        <v>1</v>
      </c>
      <c r="P94" s="4"/>
      <c r="Q94" s="4"/>
      <c r="R94" s="4"/>
      <c r="S94" s="4"/>
      <c r="T94" s="4"/>
      <c r="U94" s="4"/>
      <c r="V94" s="4"/>
      <c r="W94" s="4"/>
    </row>
    <row r="95" spans="1:23" ht="12.75">
      <c r="A95" s="4">
        <v>50</v>
      </c>
      <c r="B95" s="4">
        <v>1</v>
      </c>
      <c r="C95" s="4">
        <v>0</v>
      </c>
      <c r="D95" s="4">
        <v>1</v>
      </c>
      <c r="E95" s="4">
        <v>215</v>
      </c>
      <c r="F95" s="4">
        <f>ROUND(Source!AT77,O95)</f>
        <v>0</v>
      </c>
      <c r="G95" s="4" t="s">
        <v>82</v>
      </c>
      <c r="H95" s="4" t="s">
        <v>83</v>
      </c>
      <c r="I95" s="4"/>
      <c r="J95" s="4"/>
      <c r="K95" s="4">
        <v>215</v>
      </c>
      <c r="L95" s="4">
        <v>17</v>
      </c>
      <c r="M95" s="4">
        <v>0</v>
      </c>
      <c r="N95" s="4" t="s">
        <v>3</v>
      </c>
      <c r="O95" s="4">
        <v>1</v>
      </c>
      <c r="P95" s="4"/>
      <c r="Q95" s="4"/>
      <c r="R95" s="4"/>
      <c r="S95" s="4"/>
      <c r="T95" s="4"/>
      <c r="U95" s="4"/>
      <c r="V95" s="4"/>
      <c r="W95" s="4"/>
    </row>
    <row r="96" spans="1:23" ht="12.75">
      <c r="A96" s="4">
        <v>50</v>
      </c>
      <c r="B96" s="4">
        <v>1</v>
      </c>
      <c r="C96" s="4">
        <v>0</v>
      </c>
      <c r="D96" s="4">
        <v>1</v>
      </c>
      <c r="E96" s="4">
        <v>217</v>
      </c>
      <c r="F96" s="4">
        <f>ROUND(Source!AU77,O96)</f>
        <v>0</v>
      </c>
      <c r="G96" s="4" t="s">
        <v>84</v>
      </c>
      <c r="H96" s="4" t="s">
        <v>85</v>
      </c>
      <c r="I96" s="4"/>
      <c r="J96" s="4"/>
      <c r="K96" s="4">
        <v>217</v>
      </c>
      <c r="L96" s="4">
        <v>18</v>
      </c>
      <c r="M96" s="4">
        <v>0</v>
      </c>
      <c r="N96" s="4" t="s">
        <v>3</v>
      </c>
      <c r="O96" s="4">
        <v>1</v>
      </c>
      <c r="P96" s="4"/>
      <c r="Q96" s="4"/>
      <c r="R96" s="4"/>
      <c r="S96" s="4"/>
      <c r="T96" s="4"/>
      <c r="U96" s="4"/>
      <c r="V96" s="4"/>
      <c r="W96" s="4"/>
    </row>
    <row r="97" spans="1:23" ht="12.75">
      <c r="A97" s="4">
        <v>50</v>
      </c>
      <c r="B97" s="4">
        <v>0</v>
      </c>
      <c r="C97" s="4">
        <v>0</v>
      </c>
      <c r="D97" s="4">
        <v>1</v>
      </c>
      <c r="E97" s="4">
        <v>230</v>
      </c>
      <c r="F97" s="4">
        <f>ROUND(Source!BA77,O97)</f>
        <v>0</v>
      </c>
      <c r="G97" s="4" t="s">
        <v>86</v>
      </c>
      <c r="H97" s="4" t="s">
        <v>87</v>
      </c>
      <c r="I97" s="4"/>
      <c r="J97" s="4"/>
      <c r="K97" s="4">
        <v>230</v>
      </c>
      <c r="L97" s="4">
        <v>19</v>
      </c>
      <c r="M97" s="4">
        <v>3</v>
      </c>
      <c r="N97" s="4" t="s">
        <v>3</v>
      </c>
      <c r="O97" s="4">
        <v>1</v>
      </c>
      <c r="P97" s="4"/>
      <c r="Q97" s="4"/>
      <c r="R97" s="4"/>
      <c r="S97" s="4"/>
      <c r="T97" s="4"/>
      <c r="U97" s="4"/>
      <c r="V97" s="4"/>
      <c r="W97" s="4"/>
    </row>
    <row r="98" spans="1:23" ht="12.75">
      <c r="A98" s="4">
        <v>50</v>
      </c>
      <c r="B98" s="4">
        <v>0</v>
      </c>
      <c r="C98" s="4">
        <v>0</v>
      </c>
      <c r="D98" s="4">
        <v>1</v>
      </c>
      <c r="E98" s="4">
        <v>206</v>
      </c>
      <c r="F98" s="4">
        <f>ROUND(Source!T77,O98)</f>
        <v>0</v>
      </c>
      <c r="G98" s="4" t="s">
        <v>88</v>
      </c>
      <c r="H98" s="4" t="s">
        <v>89</v>
      </c>
      <c r="I98" s="4"/>
      <c r="J98" s="4"/>
      <c r="K98" s="4">
        <v>206</v>
      </c>
      <c r="L98" s="4">
        <v>20</v>
      </c>
      <c r="M98" s="4">
        <v>3</v>
      </c>
      <c r="N98" s="4" t="s">
        <v>3</v>
      </c>
      <c r="O98" s="4">
        <v>1</v>
      </c>
      <c r="P98" s="4"/>
      <c r="Q98" s="4"/>
      <c r="R98" s="4"/>
      <c r="S98" s="4"/>
      <c r="T98" s="4"/>
      <c r="U98" s="4"/>
      <c r="V98" s="4"/>
      <c r="W98" s="4"/>
    </row>
    <row r="99" spans="1:23" ht="12.75">
      <c r="A99" s="4">
        <v>50</v>
      </c>
      <c r="B99" s="4">
        <v>1</v>
      </c>
      <c r="C99" s="4">
        <v>0</v>
      </c>
      <c r="D99" s="4">
        <v>1</v>
      </c>
      <c r="E99" s="4">
        <v>207</v>
      </c>
      <c r="F99" s="4">
        <f>Source!U77</f>
        <v>92.0267716</v>
      </c>
      <c r="G99" s="4" t="s">
        <v>90</v>
      </c>
      <c r="H99" s="4" t="s">
        <v>91</v>
      </c>
      <c r="I99" s="4"/>
      <c r="J99" s="4"/>
      <c r="K99" s="4">
        <v>207</v>
      </c>
      <c r="L99" s="4">
        <v>21</v>
      </c>
      <c r="M99" s="4">
        <v>0</v>
      </c>
      <c r="N99" s="4" t="s">
        <v>3</v>
      </c>
      <c r="O99" s="4">
        <v>-1</v>
      </c>
      <c r="P99" s="4"/>
      <c r="Q99" s="4"/>
      <c r="R99" s="4"/>
      <c r="S99" s="4"/>
      <c r="T99" s="4"/>
      <c r="U99" s="4"/>
      <c r="V99" s="4"/>
      <c r="W99" s="4"/>
    </row>
    <row r="100" spans="1:23" ht="12.75">
      <c r="A100" s="4">
        <v>50</v>
      </c>
      <c r="B100" s="4">
        <v>1</v>
      </c>
      <c r="C100" s="4">
        <v>0</v>
      </c>
      <c r="D100" s="4">
        <v>1</v>
      </c>
      <c r="E100" s="4">
        <v>208</v>
      </c>
      <c r="F100" s="4">
        <f>Source!V77</f>
        <v>7.276088400000001</v>
      </c>
      <c r="G100" s="4" t="s">
        <v>92</v>
      </c>
      <c r="H100" s="4" t="s">
        <v>93</v>
      </c>
      <c r="I100" s="4"/>
      <c r="J100" s="4"/>
      <c r="K100" s="4">
        <v>208</v>
      </c>
      <c r="L100" s="4">
        <v>22</v>
      </c>
      <c r="M100" s="4">
        <v>0</v>
      </c>
      <c r="N100" s="4" t="s">
        <v>3</v>
      </c>
      <c r="O100" s="4">
        <v>-1</v>
      </c>
      <c r="P100" s="4"/>
      <c r="Q100" s="4"/>
      <c r="R100" s="4"/>
      <c r="S100" s="4"/>
      <c r="T100" s="4"/>
      <c r="U100" s="4"/>
      <c r="V100" s="4"/>
      <c r="W100" s="4"/>
    </row>
    <row r="101" spans="1:23" ht="12.75">
      <c r="A101" s="4">
        <v>50</v>
      </c>
      <c r="B101" s="4">
        <v>0</v>
      </c>
      <c r="C101" s="4">
        <v>0</v>
      </c>
      <c r="D101" s="4">
        <v>1</v>
      </c>
      <c r="E101" s="4">
        <v>209</v>
      </c>
      <c r="F101" s="4">
        <f>ROUND(Source!W77,O101)</f>
        <v>0</v>
      </c>
      <c r="G101" s="4" t="s">
        <v>94</v>
      </c>
      <c r="H101" s="4" t="s">
        <v>95</v>
      </c>
      <c r="I101" s="4"/>
      <c r="J101" s="4"/>
      <c r="K101" s="4">
        <v>209</v>
      </c>
      <c r="L101" s="4">
        <v>23</v>
      </c>
      <c r="M101" s="4">
        <v>3</v>
      </c>
      <c r="N101" s="4" t="s">
        <v>3</v>
      </c>
      <c r="O101" s="4">
        <v>1</v>
      </c>
      <c r="P101" s="4"/>
      <c r="Q101" s="4"/>
      <c r="R101" s="4"/>
      <c r="S101" s="4"/>
      <c r="T101" s="4"/>
      <c r="U101" s="4"/>
      <c r="V101" s="4"/>
      <c r="W101" s="4"/>
    </row>
    <row r="102" spans="1:23" ht="12.75">
      <c r="A102" s="4">
        <v>50</v>
      </c>
      <c r="B102" s="4">
        <v>1</v>
      </c>
      <c r="C102" s="4">
        <v>0</v>
      </c>
      <c r="D102" s="4">
        <v>1</v>
      </c>
      <c r="E102" s="4">
        <v>210</v>
      </c>
      <c r="F102" s="4">
        <f>ROUND(Source!X77,O102)</f>
        <v>11365.3</v>
      </c>
      <c r="G102" s="4" t="s">
        <v>96</v>
      </c>
      <c r="H102" s="4" t="s">
        <v>97</v>
      </c>
      <c r="I102" s="4"/>
      <c r="J102" s="4"/>
      <c r="K102" s="4">
        <v>210</v>
      </c>
      <c r="L102" s="4">
        <v>24</v>
      </c>
      <c r="M102" s="4">
        <v>0</v>
      </c>
      <c r="N102" s="4" t="s">
        <v>3</v>
      </c>
      <c r="O102" s="4">
        <v>1</v>
      </c>
      <c r="P102" s="4"/>
      <c r="Q102" s="4"/>
      <c r="R102" s="4"/>
      <c r="S102" s="4"/>
      <c r="T102" s="4"/>
      <c r="U102" s="4"/>
      <c r="V102" s="4"/>
      <c r="W102" s="4"/>
    </row>
    <row r="103" spans="1:23" ht="12.75">
      <c r="A103" s="4">
        <v>50</v>
      </c>
      <c r="B103" s="4">
        <v>1</v>
      </c>
      <c r="C103" s="4">
        <v>0</v>
      </c>
      <c r="D103" s="4">
        <v>1</v>
      </c>
      <c r="E103" s="4">
        <v>211</v>
      </c>
      <c r="F103" s="4">
        <f>ROUND(Source!Y77,O103)</f>
        <v>5929.3</v>
      </c>
      <c r="G103" s="4" t="s">
        <v>98</v>
      </c>
      <c r="H103" s="4" t="s">
        <v>99</v>
      </c>
      <c r="I103" s="4"/>
      <c r="J103" s="4"/>
      <c r="K103" s="4">
        <v>211</v>
      </c>
      <c r="L103" s="4">
        <v>25</v>
      </c>
      <c r="M103" s="4">
        <v>0</v>
      </c>
      <c r="N103" s="4" t="s">
        <v>3</v>
      </c>
      <c r="O103" s="4">
        <v>1</v>
      </c>
      <c r="P103" s="4"/>
      <c r="Q103" s="4"/>
      <c r="R103" s="4"/>
      <c r="S103" s="4"/>
      <c r="T103" s="4"/>
      <c r="U103" s="4"/>
      <c r="V103" s="4"/>
      <c r="W103" s="4"/>
    </row>
    <row r="104" spans="1:23" ht="12.75">
      <c r="A104" s="4">
        <v>50</v>
      </c>
      <c r="B104" s="4">
        <v>1</v>
      </c>
      <c r="C104" s="4">
        <v>0</v>
      </c>
      <c r="D104" s="4">
        <v>1</v>
      </c>
      <c r="E104" s="4">
        <v>224</v>
      </c>
      <c r="F104" s="4">
        <f>ROUND(Source!AR77,O104)</f>
        <v>63771.8</v>
      </c>
      <c r="G104" s="4" t="s">
        <v>100</v>
      </c>
      <c r="H104" s="4" t="s">
        <v>101</v>
      </c>
      <c r="I104" s="4"/>
      <c r="J104" s="4"/>
      <c r="K104" s="4">
        <v>224</v>
      </c>
      <c r="L104" s="4">
        <v>26</v>
      </c>
      <c r="M104" s="4">
        <v>0</v>
      </c>
      <c r="N104" s="4" t="s">
        <v>3</v>
      </c>
      <c r="O104" s="4">
        <v>1</v>
      </c>
      <c r="P104" s="4"/>
      <c r="Q104" s="4"/>
      <c r="R104" s="4"/>
      <c r="S104" s="4"/>
      <c r="T104" s="4"/>
      <c r="U104" s="4"/>
      <c r="V104" s="4"/>
      <c r="W104" s="4"/>
    </row>
    <row r="106" spans="1:88" ht="12.75">
      <c r="A106" s="1">
        <v>4</v>
      </c>
      <c r="B106" s="1">
        <v>1</v>
      </c>
      <c r="C106" s="1"/>
      <c r="D106" s="1">
        <f>ROW(A115)</f>
        <v>115</v>
      </c>
      <c r="E106" s="1"/>
      <c r="F106" s="1" t="s">
        <v>20</v>
      </c>
      <c r="G106" s="1" t="s">
        <v>149</v>
      </c>
      <c r="H106" s="1" t="s">
        <v>3</v>
      </c>
      <c r="I106" s="1">
        <v>0</v>
      </c>
      <c r="J106" s="1"/>
      <c r="K106" s="1">
        <v>-1</v>
      </c>
      <c r="L106" s="1"/>
      <c r="M106" s="1"/>
      <c r="N106" s="1"/>
      <c r="O106" s="1"/>
      <c r="P106" s="1"/>
      <c r="Q106" s="1"/>
      <c r="R106" s="1"/>
      <c r="S106" s="1"/>
      <c r="T106" s="1"/>
      <c r="U106" s="1" t="s">
        <v>3</v>
      </c>
      <c r="V106" s="1">
        <v>0</v>
      </c>
      <c r="W106" s="1"/>
      <c r="X106" s="1"/>
      <c r="Y106" s="1"/>
      <c r="Z106" s="1"/>
      <c r="AA106" s="1"/>
      <c r="AB106" s="1" t="s">
        <v>3</v>
      </c>
      <c r="AC106" s="1" t="s">
        <v>3</v>
      </c>
      <c r="AD106" s="1" t="s">
        <v>3</v>
      </c>
      <c r="AE106" s="1" t="s">
        <v>3</v>
      </c>
      <c r="AF106" s="1" t="s">
        <v>3</v>
      </c>
      <c r="AG106" s="1" t="s">
        <v>3</v>
      </c>
      <c r="AH106" s="1"/>
      <c r="AI106" s="1"/>
      <c r="AJ106" s="1"/>
      <c r="AK106" s="1"/>
      <c r="AL106" s="1"/>
      <c r="AM106" s="1"/>
      <c r="AN106" s="1"/>
      <c r="AO106" s="1"/>
      <c r="AP106" s="1" t="s">
        <v>3</v>
      </c>
      <c r="AQ106" s="1" t="s">
        <v>3</v>
      </c>
      <c r="AR106" s="1" t="s">
        <v>3</v>
      </c>
      <c r="AS106" s="1"/>
      <c r="AT106" s="1"/>
      <c r="AU106" s="1"/>
      <c r="AV106" s="1"/>
      <c r="AW106" s="1"/>
      <c r="AX106" s="1"/>
      <c r="AY106" s="1"/>
      <c r="AZ106" s="1" t="s">
        <v>3</v>
      </c>
      <c r="BA106" s="1"/>
      <c r="BB106" s="1" t="s">
        <v>3</v>
      </c>
      <c r="BC106" s="1" t="s">
        <v>3</v>
      </c>
      <c r="BD106" s="1" t="s">
        <v>3</v>
      </c>
      <c r="BE106" s="1" t="s">
        <v>3</v>
      </c>
      <c r="BF106" s="1" t="s">
        <v>3</v>
      </c>
      <c r="BG106" s="1" t="s">
        <v>3</v>
      </c>
      <c r="BH106" s="1" t="s">
        <v>3</v>
      </c>
      <c r="BI106" s="1" t="s">
        <v>3</v>
      </c>
      <c r="BJ106" s="1" t="s">
        <v>3</v>
      </c>
      <c r="BK106" s="1" t="s">
        <v>3</v>
      </c>
      <c r="BL106" s="1" t="s">
        <v>3</v>
      </c>
      <c r="BM106" s="1" t="s">
        <v>3</v>
      </c>
      <c r="BN106" s="1" t="s">
        <v>3</v>
      </c>
      <c r="BO106" s="1" t="s">
        <v>3</v>
      </c>
      <c r="BP106" s="1" t="s">
        <v>3</v>
      </c>
      <c r="BQ106" s="1"/>
      <c r="BR106" s="1"/>
      <c r="BS106" s="1"/>
      <c r="BT106" s="1"/>
      <c r="BU106" s="1"/>
      <c r="BV106" s="1"/>
      <c r="BW106" s="1"/>
      <c r="BX106" s="1">
        <v>0</v>
      </c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>
        <v>0</v>
      </c>
    </row>
    <row r="108" spans="1:206" ht="12.75">
      <c r="A108" s="2">
        <v>52</v>
      </c>
      <c r="B108" s="2">
        <f aca="true" t="shared" si="70" ref="B108:G108">B115</f>
        <v>1</v>
      </c>
      <c r="C108" s="2">
        <f t="shared" si="70"/>
        <v>4</v>
      </c>
      <c r="D108" s="2">
        <f t="shared" si="70"/>
        <v>106</v>
      </c>
      <c r="E108" s="2">
        <f t="shared" si="70"/>
        <v>0</v>
      </c>
      <c r="F108" s="2" t="str">
        <f t="shared" si="70"/>
        <v>Новый раздел</v>
      </c>
      <c r="G108" s="2" t="str">
        <f t="shared" si="70"/>
        <v>Оборудование.</v>
      </c>
      <c r="H108" s="2"/>
      <c r="I108" s="2"/>
      <c r="J108" s="2"/>
      <c r="K108" s="2"/>
      <c r="L108" s="2"/>
      <c r="M108" s="2"/>
      <c r="N108" s="2"/>
      <c r="O108" s="2">
        <f aca="true" t="shared" si="71" ref="O108:AT108">O115</f>
        <v>2478444.6</v>
      </c>
      <c r="P108" s="2">
        <f t="shared" si="71"/>
        <v>2449193</v>
      </c>
      <c r="Q108" s="2">
        <f t="shared" si="71"/>
        <v>15349.7</v>
      </c>
      <c r="R108" s="2">
        <f t="shared" si="71"/>
        <v>5579.2</v>
      </c>
      <c r="S108" s="2">
        <f t="shared" si="71"/>
        <v>13901.9</v>
      </c>
      <c r="T108" s="2">
        <f t="shared" si="71"/>
        <v>0</v>
      </c>
      <c r="U108" s="2">
        <f t="shared" si="71"/>
        <v>72.4</v>
      </c>
      <c r="V108" s="2">
        <f t="shared" si="71"/>
        <v>21.53</v>
      </c>
      <c r="W108" s="2">
        <f t="shared" si="71"/>
        <v>0</v>
      </c>
      <c r="X108" s="2">
        <f t="shared" si="71"/>
        <v>15779.7</v>
      </c>
      <c r="Y108" s="2">
        <f t="shared" si="71"/>
        <v>10130.2</v>
      </c>
      <c r="Z108" s="2">
        <f t="shared" si="71"/>
        <v>0</v>
      </c>
      <c r="AA108" s="2">
        <f t="shared" si="71"/>
        <v>0</v>
      </c>
      <c r="AB108" s="2">
        <f t="shared" si="71"/>
        <v>2478444.6</v>
      </c>
      <c r="AC108" s="2">
        <f t="shared" si="71"/>
        <v>2449193</v>
      </c>
      <c r="AD108" s="2">
        <f t="shared" si="71"/>
        <v>15349.7</v>
      </c>
      <c r="AE108" s="2">
        <f t="shared" si="71"/>
        <v>5579.2</v>
      </c>
      <c r="AF108" s="2">
        <f t="shared" si="71"/>
        <v>13901.9</v>
      </c>
      <c r="AG108" s="2">
        <f t="shared" si="71"/>
        <v>0</v>
      </c>
      <c r="AH108" s="2">
        <f t="shared" si="71"/>
        <v>72.4</v>
      </c>
      <c r="AI108" s="2">
        <f t="shared" si="71"/>
        <v>21.53</v>
      </c>
      <c r="AJ108" s="2">
        <f t="shared" si="71"/>
        <v>0</v>
      </c>
      <c r="AK108" s="2">
        <f t="shared" si="71"/>
        <v>15779.7</v>
      </c>
      <c r="AL108" s="2">
        <f t="shared" si="71"/>
        <v>10130.2</v>
      </c>
      <c r="AM108" s="2">
        <f t="shared" si="71"/>
        <v>0</v>
      </c>
      <c r="AN108" s="2">
        <f t="shared" si="71"/>
        <v>0</v>
      </c>
      <c r="AO108" s="2">
        <f t="shared" si="71"/>
        <v>0</v>
      </c>
      <c r="AP108" s="2">
        <f t="shared" si="71"/>
        <v>2444501.7</v>
      </c>
      <c r="AQ108" s="2">
        <f t="shared" si="71"/>
        <v>0</v>
      </c>
      <c r="AR108" s="2">
        <f t="shared" si="71"/>
        <v>2504354.5</v>
      </c>
      <c r="AS108" s="2">
        <f t="shared" si="71"/>
        <v>0</v>
      </c>
      <c r="AT108" s="2">
        <f t="shared" si="71"/>
        <v>59852.8</v>
      </c>
      <c r="AU108" s="2">
        <f aca="true" t="shared" si="72" ref="AU108:BZ108">AU115</f>
        <v>0</v>
      </c>
      <c r="AV108" s="2">
        <f t="shared" si="72"/>
        <v>2449193</v>
      </c>
      <c r="AW108" s="2">
        <f t="shared" si="72"/>
        <v>4691.3</v>
      </c>
      <c r="AX108" s="2">
        <f t="shared" si="72"/>
        <v>0</v>
      </c>
      <c r="AY108" s="2">
        <f t="shared" si="72"/>
        <v>4691.3</v>
      </c>
      <c r="AZ108" s="2">
        <f t="shared" si="72"/>
        <v>2444501.7</v>
      </c>
      <c r="BA108" s="2">
        <f t="shared" si="72"/>
        <v>0</v>
      </c>
      <c r="BB108" s="2">
        <f t="shared" si="72"/>
        <v>0</v>
      </c>
      <c r="BC108" s="2">
        <f t="shared" si="72"/>
        <v>0</v>
      </c>
      <c r="BD108" s="2">
        <f t="shared" si="72"/>
        <v>0</v>
      </c>
      <c r="BE108" s="2">
        <f t="shared" si="72"/>
        <v>0</v>
      </c>
      <c r="BF108" s="2">
        <f t="shared" si="72"/>
        <v>0</v>
      </c>
      <c r="BG108" s="2">
        <f t="shared" si="72"/>
        <v>0</v>
      </c>
      <c r="BH108" s="2">
        <f t="shared" si="72"/>
        <v>0</v>
      </c>
      <c r="BI108" s="2">
        <f t="shared" si="72"/>
        <v>0</v>
      </c>
      <c r="BJ108" s="2">
        <f t="shared" si="72"/>
        <v>0</v>
      </c>
      <c r="BK108" s="2">
        <f t="shared" si="72"/>
        <v>0</v>
      </c>
      <c r="BL108" s="2">
        <f t="shared" si="72"/>
        <v>0</v>
      </c>
      <c r="BM108" s="2">
        <f t="shared" si="72"/>
        <v>0</v>
      </c>
      <c r="BN108" s="2">
        <f t="shared" si="72"/>
        <v>0</v>
      </c>
      <c r="BO108" s="2">
        <f t="shared" si="72"/>
        <v>0</v>
      </c>
      <c r="BP108" s="2">
        <f t="shared" si="72"/>
        <v>0</v>
      </c>
      <c r="BQ108" s="2">
        <f t="shared" si="72"/>
        <v>0</v>
      </c>
      <c r="BR108" s="2">
        <f t="shared" si="72"/>
        <v>0</v>
      </c>
      <c r="BS108" s="2">
        <f t="shared" si="72"/>
        <v>0</v>
      </c>
      <c r="BT108" s="2">
        <f t="shared" si="72"/>
        <v>0</v>
      </c>
      <c r="BU108" s="2">
        <f t="shared" si="72"/>
        <v>0</v>
      </c>
      <c r="BV108" s="2">
        <f t="shared" si="72"/>
        <v>0</v>
      </c>
      <c r="BW108" s="2">
        <f t="shared" si="72"/>
        <v>0</v>
      </c>
      <c r="BX108" s="2">
        <f t="shared" si="72"/>
        <v>0</v>
      </c>
      <c r="BY108" s="2">
        <f t="shared" si="72"/>
        <v>2444501.7</v>
      </c>
      <c r="BZ108" s="2">
        <f t="shared" si="72"/>
        <v>0</v>
      </c>
      <c r="CA108" s="2">
        <f aca="true" t="shared" si="73" ref="CA108:DF108">CA115</f>
        <v>2504354.5</v>
      </c>
      <c r="CB108" s="2">
        <f t="shared" si="73"/>
        <v>0</v>
      </c>
      <c r="CC108" s="2">
        <f t="shared" si="73"/>
        <v>59852.8</v>
      </c>
      <c r="CD108" s="2">
        <f t="shared" si="73"/>
        <v>0</v>
      </c>
      <c r="CE108" s="2">
        <f t="shared" si="73"/>
        <v>2449193</v>
      </c>
      <c r="CF108" s="2">
        <f t="shared" si="73"/>
        <v>4691.299999999814</v>
      </c>
      <c r="CG108" s="2">
        <f t="shared" si="73"/>
        <v>0</v>
      </c>
      <c r="CH108" s="2">
        <f t="shared" si="73"/>
        <v>4691.299999999814</v>
      </c>
      <c r="CI108" s="2">
        <f t="shared" si="73"/>
        <v>2444501.7</v>
      </c>
      <c r="CJ108" s="2">
        <f t="shared" si="73"/>
        <v>0</v>
      </c>
      <c r="CK108" s="2">
        <f t="shared" si="73"/>
        <v>0</v>
      </c>
      <c r="CL108" s="2">
        <f t="shared" si="73"/>
        <v>0</v>
      </c>
      <c r="CM108" s="2">
        <f t="shared" si="73"/>
        <v>0</v>
      </c>
      <c r="CN108" s="2">
        <f t="shared" si="73"/>
        <v>0</v>
      </c>
      <c r="CO108" s="2">
        <f t="shared" si="73"/>
        <v>0</v>
      </c>
      <c r="CP108" s="2">
        <f t="shared" si="73"/>
        <v>0</v>
      </c>
      <c r="CQ108" s="2">
        <f t="shared" si="73"/>
        <v>0</v>
      </c>
      <c r="CR108" s="2">
        <f t="shared" si="73"/>
        <v>0</v>
      </c>
      <c r="CS108" s="2">
        <f t="shared" si="73"/>
        <v>0</v>
      </c>
      <c r="CT108" s="2">
        <f t="shared" si="73"/>
        <v>0</v>
      </c>
      <c r="CU108" s="2">
        <f t="shared" si="73"/>
        <v>0</v>
      </c>
      <c r="CV108" s="2">
        <f t="shared" si="73"/>
        <v>0</v>
      </c>
      <c r="CW108" s="2">
        <f t="shared" si="73"/>
        <v>0</v>
      </c>
      <c r="CX108" s="2">
        <f t="shared" si="73"/>
        <v>0</v>
      </c>
      <c r="CY108" s="2">
        <f t="shared" si="73"/>
        <v>0</v>
      </c>
      <c r="CZ108" s="2">
        <f t="shared" si="73"/>
        <v>0</v>
      </c>
      <c r="DA108" s="2">
        <f t="shared" si="73"/>
        <v>0</v>
      </c>
      <c r="DB108" s="2">
        <f t="shared" si="73"/>
        <v>0</v>
      </c>
      <c r="DC108" s="2">
        <f t="shared" si="73"/>
        <v>0</v>
      </c>
      <c r="DD108" s="2">
        <f t="shared" si="73"/>
        <v>0</v>
      </c>
      <c r="DE108" s="2">
        <f t="shared" si="73"/>
        <v>0</v>
      </c>
      <c r="DF108" s="2">
        <f t="shared" si="73"/>
        <v>0</v>
      </c>
      <c r="DG108" s="3">
        <f aca="true" t="shared" si="74" ref="DG108:EL108">DG115</f>
        <v>0</v>
      </c>
      <c r="DH108" s="3">
        <f t="shared" si="74"/>
        <v>0</v>
      </c>
      <c r="DI108" s="3">
        <f t="shared" si="74"/>
        <v>0</v>
      </c>
      <c r="DJ108" s="3">
        <f t="shared" si="74"/>
        <v>0</v>
      </c>
      <c r="DK108" s="3">
        <f t="shared" si="74"/>
        <v>0</v>
      </c>
      <c r="DL108" s="3">
        <f t="shared" si="74"/>
        <v>0</v>
      </c>
      <c r="DM108" s="3">
        <f t="shared" si="74"/>
        <v>0</v>
      </c>
      <c r="DN108" s="3">
        <f t="shared" si="74"/>
        <v>0</v>
      </c>
      <c r="DO108" s="3">
        <f t="shared" si="74"/>
        <v>0</v>
      </c>
      <c r="DP108" s="3">
        <f t="shared" si="74"/>
        <v>0</v>
      </c>
      <c r="DQ108" s="3">
        <f t="shared" si="74"/>
        <v>0</v>
      </c>
      <c r="DR108" s="3">
        <f t="shared" si="74"/>
        <v>0</v>
      </c>
      <c r="DS108" s="3">
        <f t="shared" si="74"/>
        <v>0</v>
      </c>
      <c r="DT108" s="3">
        <f t="shared" si="74"/>
        <v>0</v>
      </c>
      <c r="DU108" s="3">
        <f t="shared" si="74"/>
        <v>0</v>
      </c>
      <c r="DV108" s="3">
        <f t="shared" si="74"/>
        <v>0</v>
      </c>
      <c r="DW108" s="3">
        <f t="shared" si="74"/>
        <v>0</v>
      </c>
      <c r="DX108" s="3">
        <f t="shared" si="74"/>
        <v>0</v>
      </c>
      <c r="DY108" s="3">
        <f t="shared" si="74"/>
        <v>0</v>
      </c>
      <c r="DZ108" s="3">
        <f t="shared" si="74"/>
        <v>0</v>
      </c>
      <c r="EA108" s="3">
        <f t="shared" si="74"/>
        <v>0</v>
      </c>
      <c r="EB108" s="3">
        <f t="shared" si="74"/>
        <v>0</v>
      </c>
      <c r="EC108" s="3">
        <f t="shared" si="74"/>
        <v>0</v>
      </c>
      <c r="ED108" s="3">
        <f t="shared" si="74"/>
        <v>0</v>
      </c>
      <c r="EE108" s="3">
        <f t="shared" si="74"/>
        <v>0</v>
      </c>
      <c r="EF108" s="3">
        <f t="shared" si="74"/>
        <v>0</v>
      </c>
      <c r="EG108" s="3">
        <f t="shared" si="74"/>
        <v>0</v>
      </c>
      <c r="EH108" s="3">
        <f t="shared" si="74"/>
        <v>0</v>
      </c>
      <c r="EI108" s="3">
        <f t="shared" si="74"/>
        <v>0</v>
      </c>
      <c r="EJ108" s="3">
        <f t="shared" si="74"/>
        <v>0</v>
      </c>
      <c r="EK108" s="3">
        <f t="shared" si="74"/>
        <v>0</v>
      </c>
      <c r="EL108" s="3">
        <f t="shared" si="74"/>
        <v>0</v>
      </c>
      <c r="EM108" s="3">
        <f aca="true" t="shared" si="75" ref="EM108:FR108">EM115</f>
        <v>0</v>
      </c>
      <c r="EN108" s="3">
        <f t="shared" si="75"/>
        <v>0</v>
      </c>
      <c r="EO108" s="3">
        <f t="shared" si="75"/>
        <v>0</v>
      </c>
      <c r="EP108" s="3">
        <f t="shared" si="75"/>
        <v>0</v>
      </c>
      <c r="EQ108" s="3">
        <f t="shared" si="75"/>
        <v>0</v>
      </c>
      <c r="ER108" s="3">
        <f t="shared" si="75"/>
        <v>0</v>
      </c>
      <c r="ES108" s="3">
        <f t="shared" si="75"/>
        <v>0</v>
      </c>
      <c r="ET108" s="3">
        <f t="shared" si="75"/>
        <v>0</v>
      </c>
      <c r="EU108" s="3">
        <f t="shared" si="75"/>
        <v>0</v>
      </c>
      <c r="EV108" s="3">
        <f t="shared" si="75"/>
        <v>0</v>
      </c>
      <c r="EW108" s="3">
        <f t="shared" si="75"/>
        <v>0</v>
      </c>
      <c r="EX108" s="3">
        <f t="shared" si="75"/>
        <v>0</v>
      </c>
      <c r="EY108" s="3">
        <f t="shared" si="75"/>
        <v>0</v>
      </c>
      <c r="EZ108" s="3">
        <f t="shared" si="75"/>
        <v>0</v>
      </c>
      <c r="FA108" s="3">
        <f t="shared" si="75"/>
        <v>0</v>
      </c>
      <c r="FB108" s="3">
        <f t="shared" si="75"/>
        <v>0</v>
      </c>
      <c r="FC108" s="3">
        <f t="shared" si="75"/>
        <v>0</v>
      </c>
      <c r="FD108" s="3">
        <f t="shared" si="75"/>
        <v>0</v>
      </c>
      <c r="FE108" s="3">
        <f t="shared" si="75"/>
        <v>0</v>
      </c>
      <c r="FF108" s="3">
        <f t="shared" si="75"/>
        <v>0</v>
      </c>
      <c r="FG108" s="3">
        <f t="shared" si="75"/>
        <v>0</v>
      </c>
      <c r="FH108" s="3">
        <f t="shared" si="75"/>
        <v>0</v>
      </c>
      <c r="FI108" s="3">
        <f t="shared" si="75"/>
        <v>0</v>
      </c>
      <c r="FJ108" s="3">
        <f t="shared" si="75"/>
        <v>0</v>
      </c>
      <c r="FK108" s="3">
        <f t="shared" si="75"/>
        <v>0</v>
      </c>
      <c r="FL108" s="3">
        <f t="shared" si="75"/>
        <v>0</v>
      </c>
      <c r="FM108" s="3">
        <f t="shared" si="75"/>
        <v>0</v>
      </c>
      <c r="FN108" s="3">
        <f t="shared" si="75"/>
        <v>0</v>
      </c>
      <c r="FO108" s="3">
        <f t="shared" si="75"/>
        <v>0</v>
      </c>
      <c r="FP108" s="3">
        <f t="shared" si="75"/>
        <v>0</v>
      </c>
      <c r="FQ108" s="3">
        <f t="shared" si="75"/>
        <v>0</v>
      </c>
      <c r="FR108" s="3">
        <f t="shared" si="75"/>
        <v>0</v>
      </c>
      <c r="FS108" s="3">
        <f aca="true" t="shared" si="76" ref="FS108:GX108">FS115</f>
        <v>0</v>
      </c>
      <c r="FT108" s="3">
        <f t="shared" si="76"/>
        <v>0</v>
      </c>
      <c r="FU108" s="3">
        <f t="shared" si="76"/>
        <v>0</v>
      </c>
      <c r="FV108" s="3">
        <f t="shared" si="76"/>
        <v>0</v>
      </c>
      <c r="FW108" s="3">
        <f t="shared" si="76"/>
        <v>0</v>
      </c>
      <c r="FX108" s="3">
        <f t="shared" si="76"/>
        <v>0</v>
      </c>
      <c r="FY108" s="3">
        <f t="shared" si="76"/>
        <v>0</v>
      </c>
      <c r="FZ108" s="3">
        <f t="shared" si="76"/>
        <v>0</v>
      </c>
      <c r="GA108" s="3">
        <f t="shared" si="76"/>
        <v>0</v>
      </c>
      <c r="GB108" s="3">
        <f t="shared" si="76"/>
        <v>0</v>
      </c>
      <c r="GC108" s="3">
        <f t="shared" si="76"/>
        <v>0</v>
      </c>
      <c r="GD108" s="3">
        <f t="shared" si="76"/>
        <v>0</v>
      </c>
      <c r="GE108" s="3">
        <f t="shared" si="76"/>
        <v>0</v>
      </c>
      <c r="GF108" s="3">
        <f t="shared" si="76"/>
        <v>0</v>
      </c>
      <c r="GG108" s="3">
        <f t="shared" si="76"/>
        <v>0</v>
      </c>
      <c r="GH108" s="3">
        <f t="shared" si="76"/>
        <v>0</v>
      </c>
      <c r="GI108" s="3">
        <f t="shared" si="76"/>
        <v>0</v>
      </c>
      <c r="GJ108" s="3">
        <f t="shared" si="76"/>
        <v>0</v>
      </c>
      <c r="GK108" s="3">
        <f t="shared" si="76"/>
        <v>0</v>
      </c>
      <c r="GL108" s="3">
        <f t="shared" si="76"/>
        <v>0</v>
      </c>
      <c r="GM108" s="3">
        <f t="shared" si="76"/>
        <v>0</v>
      </c>
      <c r="GN108" s="3">
        <f t="shared" si="76"/>
        <v>0</v>
      </c>
      <c r="GO108" s="3">
        <f t="shared" si="76"/>
        <v>0</v>
      </c>
      <c r="GP108" s="3">
        <f t="shared" si="76"/>
        <v>0</v>
      </c>
      <c r="GQ108" s="3">
        <f t="shared" si="76"/>
        <v>0</v>
      </c>
      <c r="GR108" s="3">
        <f t="shared" si="76"/>
        <v>0</v>
      </c>
      <c r="GS108" s="3">
        <f t="shared" si="76"/>
        <v>0</v>
      </c>
      <c r="GT108" s="3">
        <f t="shared" si="76"/>
        <v>0</v>
      </c>
      <c r="GU108" s="3">
        <f t="shared" si="76"/>
        <v>0</v>
      </c>
      <c r="GV108" s="3">
        <f t="shared" si="76"/>
        <v>0</v>
      </c>
      <c r="GW108" s="3">
        <f t="shared" si="76"/>
        <v>0</v>
      </c>
      <c r="GX108" s="3">
        <f t="shared" si="76"/>
        <v>0</v>
      </c>
    </row>
    <row r="110" spans="1:245" ht="12.75">
      <c r="A110">
        <v>17</v>
      </c>
      <c r="B110">
        <v>1</v>
      </c>
      <c r="C110">
        <f>ROW(SmtRes!A32)</f>
        <v>32</v>
      </c>
      <c r="D110">
        <f>ROW(EtalonRes!A31)</f>
        <v>31</v>
      </c>
      <c r="E110" t="s">
        <v>150</v>
      </c>
      <c r="F110" t="s">
        <v>151</v>
      </c>
      <c r="G110" t="s">
        <v>152</v>
      </c>
      <c r="H110" t="s">
        <v>153</v>
      </c>
      <c r="I110">
        <f>ROUND(1,3)</f>
        <v>1</v>
      </c>
      <c r="J110">
        <v>0</v>
      </c>
      <c r="O110">
        <f>ROUND(CP110,1)</f>
        <v>17814.6</v>
      </c>
      <c r="P110">
        <f>ROUND(CQ110*I110,1)</f>
        <v>661.4</v>
      </c>
      <c r="Q110">
        <f>ROUND(CR110*I110,1)</f>
        <v>9030.9</v>
      </c>
      <c r="R110">
        <f>ROUND(CS110*I110,1)</f>
        <v>3173.6</v>
      </c>
      <c r="S110">
        <f>ROUND(CT110*I110,1)</f>
        <v>8122.3</v>
      </c>
      <c r="T110">
        <f>ROUND(CU110*I110,1)</f>
        <v>0</v>
      </c>
      <c r="U110">
        <f>CV110*I110</f>
        <v>42.3</v>
      </c>
      <c r="V110">
        <f>CW110*I110</f>
        <v>12.09</v>
      </c>
      <c r="W110">
        <f>ROUND(CX110*I110,1)</f>
        <v>0</v>
      </c>
      <c r="X110">
        <f aca="true" t="shared" si="77" ref="X110:Y113">ROUND(CY110,1)</f>
        <v>9149.7</v>
      </c>
      <c r="Y110">
        <f t="shared" si="77"/>
        <v>5873.9</v>
      </c>
      <c r="AA110">
        <v>42253831</v>
      </c>
      <c r="AB110">
        <f>ROUND((AC110+AD110+AF110),6)</f>
        <v>1793.96</v>
      </c>
      <c r="AC110">
        <f>ROUND((ES110),6)</f>
        <v>116.86</v>
      </c>
      <c r="AD110">
        <f>ROUND((((ET110)-(EU110))+AE110),6)</f>
        <v>1270.17</v>
      </c>
      <c r="AE110">
        <f aca="true" t="shared" si="78" ref="AE110:AF113">ROUND((EU110),6)</f>
        <v>159</v>
      </c>
      <c r="AF110">
        <f t="shared" si="78"/>
        <v>406.93</v>
      </c>
      <c r="AG110">
        <f>ROUND((AP110),6)</f>
        <v>0</v>
      </c>
      <c r="AH110">
        <f aca="true" t="shared" si="79" ref="AH110:AI113">(EW110)</f>
        <v>42.3</v>
      </c>
      <c r="AI110">
        <f t="shared" si="79"/>
        <v>12.09</v>
      </c>
      <c r="AJ110">
        <f>ROUND((AS110),6)</f>
        <v>0</v>
      </c>
      <c r="AK110">
        <v>1793.96</v>
      </c>
      <c r="AL110">
        <v>116.86</v>
      </c>
      <c r="AM110">
        <v>1270.17</v>
      </c>
      <c r="AN110">
        <v>159</v>
      </c>
      <c r="AO110">
        <v>406.93</v>
      </c>
      <c r="AP110">
        <v>0</v>
      </c>
      <c r="AQ110">
        <v>42.3</v>
      </c>
      <c r="AR110">
        <v>12.09</v>
      </c>
      <c r="AS110">
        <v>0</v>
      </c>
      <c r="AT110">
        <v>81</v>
      </c>
      <c r="AU110">
        <v>52</v>
      </c>
      <c r="AV110">
        <v>1</v>
      </c>
      <c r="AW110">
        <v>1</v>
      </c>
      <c r="AZ110">
        <v>1</v>
      </c>
      <c r="BA110">
        <v>19.96</v>
      </c>
      <c r="BB110">
        <v>7.11</v>
      </c>
      <c r="BC110">
        <v>5.66</v>
      </c>
      <c r="BH110">
        <v>0</v>
      </c>
      <c r="BI110">
        <v>2</v>
      </c>
      <c r="BJ110" t="s">
        <v>154</v>
      </c>
      <c r="BM110">
        <v>108001</v>
      </c>
      <c r="BN110">
        <v>0</v>
      </c>
      <c r="BO110" t="s">
        <v>27</v>
      </c>
      <c r="BP110">
        <v>1</v>
      </c>
      <c r="BQ110">
        <v>3</v>
      </c>
      <c r="BR110">
        <v>0</v>
      </c>
      <c r="BS110">
        <v>19.96</v>
      </c>
      <c r="BT110">
        <v>1</v>
      </c>
      <c r="BU110">
        <v>1</v>
      </c>
      <c r="BV110">
        <v>1</v>
      </c>
      <c r="BW110">
        <v>1</v>
      </c>
      <c r="BX110">
        <v>1</v>
      </c>
      <c r="BZ110">
        <v>95</v>
      </c>
      <c r="CA110">
        <v>65</v>
      </c>
      <c r="CF110">
        <v>0</v>
      </c>
      <c r="CG110">
        <v>0</v>
      </c>
      <c r="CM110">
        <v>0</v>
      </c>
      <c r="CO110">
        <v>0</v>
      </c>
      <c r="CP110">
        <f>(P110+Q110+S110)</f>
        <v>17814.6</v>
      </c>
      <c r="CQ110">
        <f>AC110*BC110</f>
        <v>661.4276</v>
      </c>
      <c r="CR110">
        <f>AD110*BB110</f>
        <v>9030.908700000002</v>
      </c>
      <c r="CS110">
        <f>AE110*BS110</f>
        <v>3173.6400000000003</v>
      </c>
      <c r="CT110">
        <f>AF110*BA110</f>
        <v>8122.322800000001</v>
      </c>
      <c r="CU110">
        <f aca="true" t="shared" si="80" ref="CU110:CX113">AG110</f>
        <v>0</v>
      </c>
      <c r="CV110">
        <f t="shared" si="80"/>
        <v>42.3</v>
      </c>
      <c r="CW110">
        <f t="shared" si="80"/>
        <v>12.09</v>
      </c>
      <c r="CX110">
        <f t="shared" si="80"/>
        <v>0</v>
      </c>
      <c r="CY110">
        <f>(((S110+R110)*AT110)/100)</f>
        <v>9149.679</v>
      </c>
      <c r="CZ110">
        <f>(((S110+R110)*AU110)/100)</f>
        <v>5873.8679999999995</v>
      </c>
      <c r="DN110">
        <v>0</v>
      </c>
      <c r="DO110">
        <v>0</v>
      </c>
      <c r="DP110">
        <v>1</v>
      </c>
      <c r="DQ110">
        <v>1</v>
      </c>
      <c r="DU110">
        <v>1013</v>
      </c>
      <c r="DV110" t="s">
        <v>153</v>
      </c>
      <c r="DW110" t="s">
        <v>153</v>
      </c>
      <c r="DX110">
        <v>1</v>
      </c>
      <c r="EE110">
        <v>39125249</v>
      </c>
      <c r="EF110">
        <v>3</v>
      </c>
      <c r="EG110" t="s">
        <v>155</v>
      </c>
      <c r="EH110">
        <v>0</v>
      </c>
      <c r="EJ110">
        <v>2</v>
      </c>
      <c r="EK110">
        <v>108001</v>
      </c>
      <c r="EL110" t="s">
        <v>156</v>
      </c>
      <c r="EM110" t="s">
        <v>157</v>
      </c>
      <c r="EQ110">
        <v>0</v>
      </c>
      <c r="ER110">
        <v>1793.96</v>
      </c>
      <c r="ES110">
        <v>116.86</v>
      </c>
      <c r="ET110">
        <v>1270.17</v>
      </c>
      <c r="EU110">
        <v>159</v>
      </c>
      <c r="EV110">
        <v>406.93</v>
      </c>
      <c r="EW110">
        <v>42.3</v>
      </c>
      <c r="EX110">
        <v>12.09</v>
      </c>
      <c r="EY110">
        <v>0</v>
      </c>
      <c r="FQ110">
        <v>0</v>
      </c>
      <c r="FR110">
        <f>ROUND(IF(AND(BH110=3,BI110=3),P110,0),1)</f>
        <v>0</v>
      </c>
      <c r="FS110">
        <v>0</v>
      </c>
      <c r="FV110" t="s">
        <v>31</v>
      </c>
      <c r="FW110" t="s">
        <v>32</v>
      </c>
      <c r="FX110">
        <v>95</v>
      </c>
      <c r="FY110">
        <v>65</v>
      </c>
      <c r="GD110">
        <v>0</v>
      </c>
      <c r="GF110">
        <v>1647488523</v>
      </c>
      <c r="GG110">
        <v>2</v>
      </c>
      <c r="GH110">
        <v>1</v>
      </c>
      <c r="GI110">
        <v>4</v>
      </c>
      <c r="GJ110">
        <v>0</v>
      </c>
      <c r="GK110">
        <f>ROUND(R110*(R12)/100,1)</f>
        <v>0</v>
      </c>
      <c r="GL110">
        <f>ROUND(IF(AND(BH110=3,BI110=3,FS110&lt;&gt;0),P110,0),1)</f>
        <v>0</v>
      </c>
      <c r="GM110">
        <f>ROUND(O110+X110+Y110+GK110,1)+GX110</f>
        <v>32838.2</v>
      </c>
      <c r="GN110">
        <f>IF(OR(BI110=0,BI110=1),GM110,0)</f>
        <v>0</v>
      </c>
      <c r="GO110">
        <f>IF(BI110=2,GM110,0)</f>
        <v>32838.2</v>
      </c>
      <c r="GP110">
        <f>IF(BI110=4,GM110,0)</f>
        <v>0</v>
      </c>
      <c r="GR110">
        <v>0</v>
      </c>
      <c r="GS110">
        <v>3</v>
      </c>
      <c r="GT110">
        <v>0</v>
      </c>
      <c r="GV110">
        <f>ROUND(GT110,6)</f>
        <v>0</v>
      </c>
      <c r="GW110">
        <v>19.96</v>
      </c>
      <c r="GX110">
        <f>ROUND(GV110*GW110*I110,1)</f>
        <v>0</v>
      </c>
      <c r="HA110">
        <v>0</v>
      </c>
      <c r="HB110">
        <v>0</v>
      </c>
      <c r="IK110">
        <v>0</v>
      </c>
    </row>
    <row r="111" spans="1:245" ht="12.75">
      <c r="A111">
        <v>17</v>
      </c>
      <c r="B111">
        <v>1</v>
      </c>
      <c r="E111" t="s">
        <v>5</v>
      </c>
      <c r="F111" t="s">
        <v>158</v>
      </c>
      <c r="G111" t="s">
        <v>159</v>
      </c>
      <c r="H111" t="s">
        <v>160</v>
      </c>
      <c r="I111">
        <f>ROUND(1,3)</f>
        <v>1</v>
      </c>
      <c r="J111">
        <v>0</v>
      </c>
      <c r="O111">
        <f>ROUND(CP111,1)</f>
        <v>1892008.5</v>
      </c>
      <c r="P111">
        <f>ROUND(CQ111*I111,1)</f>
        <v>1892008.5</v>
      </c>
      <c r="Q111">
        <f>ROUND(CR111*I111,1)</f>
        <v>0</v>
      </c>
      <c r="R111">
        <f>ROUND(CS111*I111,1)</f>
        <v>0</v>
      </c>
      <c r="S111">
        <f>ROUND(CT111*I111,1)</f>
        <v>0</v>
      </c>
      <c r="T111">
        <f>ROUND(CU111*I111,1)</f>
        <v>0</v>
      </c>
      <c r="U111">
        <f>CV111*I111</f>
        <v>0</v>
      </c>
      <c r="V111">
        <f>CW111*I111</f>
        <v>0</v>
      </c>
      <c r="W111">
        <f>ROUND(CX111*I111,1)</f>
        <v>0</v>
      </c>
      <c r="X111">
        <f t="shared" si="77"/>
        <v>0</v>
      </c>
      <c r="Y111">
        <f t="shared" si="77"/>
        <v>0</v>
      </c>
      <c r="AA111">
        <v>42253831</v>
      </c>
      <c r="AB111">
        <f>ROUND((AC111+AD111+AF111),6)</f>
        <v>481427.092767</v>
      </c>
      <c r="AC111">
        <f>ROUND((2232570/1.18/3.93),6)</f>
        <v>481427.092767</v>
      </c>
      <c r="AD111">
        <f>ROUND((((ET111)-(EU111))+AE111),6)</f>
        <v>0</v>
      </c>
      <c r="AE111">
        <f t="shared" si="78"/>
        <v>0</v>
      </c>
      <c r="AF111">
        <f t="shared" si="78"/>
        <v>0</v>
      </c>
      <c r="AG111">
        <f>ROUND((AP111),6)</f>
        <v>0</v>
      </c>
      <c r="AH111">
        <f t="shared" si="79"/>
        <v>0</v>
      </c>
      <c r="AI111">
        <f t="shared" si="79"/>
        <v>0</v>
      </c>
      <c r="AJ111">
        <f>ROUND((AS111),6)</f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v>3.93</v>
      </c>
      <c r="BH111">
        <v>3</v>
      </c>
      <c r="BI111">
        <v>3</v>
      </c>
      <c r="BM111">
        <v>1100</v>
      </c>
      <c r="BN111">
        <v>0</v>
      </c>
      <c r="BO111" t="s">
        <v>27</v>
      </c>
      <c r="BP111">
        <v>1</v>
      </c>
      <c r="BQ111">
        <v>8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Z111">
        <v>0</v>
      </c>
      <c r="CA111">
        <v>0</v>
      </c>
      <c r="CF111">
        <v>0</v>
      </c>
      <c r="CG111">
        <v>0</v>
      </c>
      <c r="CM111">
        <v>0</v>
      </c>
      <c r="CO111">
        <v>0</v>
      </c>
      <c r="CP111">
        <f>(P111+Q111+S111)</f>
        <v>1892008.5</v>
      </c>
      <c r="CQ111">
        <f>AC111*BC111</f>
        <v>1892008.4745743102</v>
      </c>
      <c r="CR111">
        <f>AD111*BB111</f>
        <v>0</v>
      </c>
      <c r="CS111">
        <f>AE111*BS111</f>
        <v>0</v>
      </c>
      <c r="CT111">
        <f>AF111*BA111</f>
        <v>0</v>
      </c>
      <c r="CU111">
        <f t="shared" si="80"/>
        <v>0</v>
      </c>
      <c r="CV111">
        <f t="shared" si="80"/>
        <v>0</v>
      </c>
      <c r="CW111">
        <f t="shared" si="80"/>
        <v>0</v>
      </c>
      <c r="CX111">
        <f t="shared" si="80"/>
        <v>0</v>
      </c>
      <c r="CY111">
        <f>(((S111+R111)*AT111)/100)</f>
        <v>0</v>
      </c>
      <c r="CZ111">
        <f>(((S111+R111)*AU111)/100)</f>
        <v>0</v>
      </c>
      <c r="DD111" t="s">
        <v>161</v>
      </c>
      <c r="DN111">
        <v>0</v>
      </c>
      <c r="DO111">
        <v>0</v>
      </c>
      <c r="DP111">
        <v>1</v>
      </c>
      <c r="DQ111">
        <v>1</v>
      </c>
      <c r="DU111">
        <v>1010</v>
      </c>
      <c r="DV111" t="s">
        <v>160</v>
      </c>
      <c r="DW111" t="s">
        <v>162</v>
      </c>
      <c r="DX111">
        <v>1</v>
      </c>
      <c r="EE111">
        <v>39125556</v>
      </c>
      <c r="EF111">
        <v>8</v>
      </c>
      <c r="EG111" t="s">
        <v>142</v>
      </c>
      <c r="EH111">
        <v>0</v>
      </c>
      <c r="EJ111">
        <v>1</v>
      </c>
      <c r="EK111">
        <v>1100</v>
      </c>
      <c r="EL111" t="s">
        <v>163</v>
      </c>
      <c r="EM111" t="s">
        <v>164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FQ111">
        <v>0</v>
      </c>
      <c r="FR111">
        <f>ROUND(IF(AND(BH111=3,BI111=3),P111,0),1)</f>
        <v>1892008.5</v>
      </c>
      <c r="FS111">
        <v>0</v>
      </c>
      <c r="FX111">
        <v>0</v>
      </c>
      <c r="FY111">
        <v>0</v>
      </c>
      <c r="GD111">
        <v>0</v>
      </c>
      <c r="GF111">
        <v>-345484489</v>
      </c>
      <c r="GG111">
        <v>2</v>
      </c>
      <c r="GH111">
        <v>0</v>
      </c>
      <c r="GI111">
        <v>4</v>
      </c>
      <c r="GJ111">
        <v>0</v>
      </c>
      <c r="GK111">
        <f>ROUND(R111*(R12)/100,1)</f>
        <v>0</v>
      </c>
      <c r="GL111">
        <f>ROUND(IF(AND(BH111=3,BI111=3,FS111&lt;&gt;0),P111,0),1)</f>
        <v>0</v>
      </c>
      <c r="GM111">
        <f>ROUND(O111+X111+Y111+GK111,1)+GX111</f>
        <v>1892008.5</v>
      </c>
      <c r="GN111">
        <f>IF(OR(BI111=0,BI111=1),GM111,0)</f>
        <v>0</v>
      </c>
      <c r="GO111">
        <f>IF(BI111=2,GM111,0)</f>
        <v>0</v>
      </c>
      <c r="GP111">
        <f>IF(BI111=4,GM111,0)</f>
        <v>0</v>
      </c>
      <c r="GR111">
        <v>0</v>
      </c>
      <c r="GS111">
        <v>3</v>
      </c>
      <c r="GT111">
        <v>0</v>
      </c>
      <c r="GV111">
        <f>ROUND(GT111,6)</f>
        <v>0</v>
      </c>
      <c r="GW111">
        <v>1</v>
      </c>
      <c r="GX111">
        <f>ROUND(GV111*GW111*I111,1)</f>
        <v>0</v>
      </c>
      <c r="HA111">
        <v>0</v>
      </c>
      <c r="HB111">
        <v>0</v>
      </c>
      <c r="IK111">
        <v>0</v>
      </c>
    </row>
    <row r="112" spans="1:245" ht="12.75">
      <c r="A112">
        <v>17</v>
      </c>
      <c r="B112">
        <v>1</v>
      </c>
      <c r="C112">
        <f>ROW(SmtRes!A40)</f>
        <v>40</v>
      </c>
      <c r="D112">
        <f>ROW(EtalonRes!A38)</f>
        <v>38</v>
      </c>
      <c r="E112" t="s">
        <v>165</v>
      </c>
      <c r="F112" t="s">
        <v>166</v>
      </c>
      <c r="G112" t="s">
        <v>167</v>
      </c>
      <c r="H112" t="s">
        <v>153</v>
      </c>
      <c r="I112">
        <f>ROUND(1,3)</f>
        <v>1</v>
      </c>
      <c r="J112">
        <v>0</v>
      </c>
      <c r="O112">
        <f>ROUND(CP112,1)</f>
        <v>16128.3</v>
      </c>
      <c r="P112">
        <f>ROUND(CQ112*I112,1)</f>
        <v>4029.9</v>
      </c>
      <c r="Q112">
        <f>ROUND(CR112*I112,1)</f>
        <v>6318.8</v>
      </c>
      <c r="R112">
        <f>ROUND(CS112*I112,1)</f>
        <v>2405.6</v>
      </c>
      <c r="S112">
        <f>ROUND(CT112*I112,1)</f>
        <v>5779.6</v>
      </c>
      <c r="T112">
        <f>ROUND(CU112*I112,1)</f>
        <v>0</v>
      </c>
      <c r="U112">
        <f>CV112*I112</f>
        <v>30.1</v>
      </c>
      <c r="V112">
        <f>CW112*I112</f>
        <v>9.44</v>
      </c>
      <c r="W112">
        <f>ROUND(CX112*I112,1)</f>
        <v>0</v>
      </c>
      <c r="X112">
        <f t="shared" si="77"/>
        <v>6630</v>
      </c>
      <c r="Y112">
        <f t="shared" si="77"/>
        <v>4256.3</v>
      </c>
      <c r="AA112">
        <v>42253831</v>
      </c>
      <c r="AB112">
        <f>ROUND((AC112+AD112+AF112),6)</f>
        <v>1890.27</v>
      </c>
      <c r="AC112">
        <f>ROUND((ES112),6)</f>
        <v>711.99</v>
      </c>
      <c r="AD112">
        <f>ROUND((((ET112)-(EU112))+AE112),6)</f>
        <v>888.72</v>
      </c>
      <c r="AE112">
        <f t="shared" si="78"/>
        <v>120.52</v>
      </c>
      <c r="AF112">
        <f t="shared" si="78"/>
        <v>289.56</v>
      </c>
      <c r="AG112">
        <f>ROUND((AP112),6)</f>
        <v>0</v>
      </c>
      <c r="AH112">
        <f t="shared" si="79"/>
        <v>30.1</v>
      </c>
      <c r="AI112">
        <f t="shared" si="79"/>
        <v>9.44</v>
      </c>
      <c r="AJ112">
        <f>ROUND((AS112),6)</f>
        <v>0</v>
      </c>
      <c r="AK112">
        <v>1890.27</v>
      </c>
      <c r="AL112">
        <v>711.99</v>
      </c>
      <c r="AM112">
        <v>888.72</v>
      </c>
      <c r="AN112">
        <v>120.52</v>
      </c>
      <c r="AO112">
        <v>289.56</v>
      </c>
      <c r="AP112">
        <v>0</v>
      </c>
      <c r="AQ112">
        <v>30.1</v>
      </c>
      <c r="AR112">
        <v>9.44</v>
      </c>
      <c r="AS112">
        <v>0</v>
      </c>
      <c r="AT112">
        <v>81</v>
      </c>
      <c r="AU112">
        <v>52</v>
      </c>
      <c r="AV112">
        <v>1</v>
      </c>
      <c r="AW112">
        <v>1</v>
      </c>
      <c r="AZ112">
        <v>1</v>
      </c>
      <c r="BA112">
        <v>19.96</v>
      </c>
      <c r="BB112">
        <v>7.11</v>
      </c>
      <c r="BC112">
        <v>5.66</v>
      </c>
      <c r="BH112">
        <v>0</v>
      </c>
      <c r="BI112">
        <v>2</v>
      </c>
      <c r="BJ112" t="s">
        <v>168</v>
      </c>
      <c r="BM112">
        <v>108001</v>
      </c>
      <c r="BN112">
        <v>0</v>
      </c>
      <c r="BO112" t="s">
        <v>27</v>
      </c>
      <c r="BP112">
        <v>1</v>
      </c>
      <c r="BQ112">
        <v>3</v>
      </c>
      <c r="BR112">
        <v>0</v>
      </c>
      <c r="BS112">
        <v>19.96</v>
      </c>
      <c r="BT112">
        <v>1</v>
      </c>
      <c r="BU112">
        <v>1</v>
      </c>
      <c r="BV112">
        <v>1</v>
      </c>
      <c r="BW112">
        <v>1</v>
      </c>
      <c r="BX112">
        <v>1</v>
      </c>
      <c r="BZ112">
        <v>95</v>
      </c>
      <c r="CA112">
        <v>65</v>
      </c>
      <c r="CF112">
        <v>0</v>
      </c>
      <c r="CG112">
        <v>0</v>
      </c>
      <c r="CM112">
        <v>0</v>
      </c>
      <c r="CO112">
        <v>0</v>
      </c>
      <c r="CP112">
        <f>(P112+Q112+S112)</f>
        <v>16128.300000000001</v>
      </c>
      <c r="CQ112">
        <f>AC112*BC112</f>
        <v>4029.8634</v>
      </c>
      <c r="CR112">
        <f>AD112*BB112</f>
        <v>6318.7992</v>
      </c>
      <c r="CS112">
        <f>AE112*BS112</f>
        <v>2405.5792</v>
      </c>
      <c r="CT112">
        <f>AF112*BA112</f>
        <v>5779.6176000000005</v>
      </c>
      <c r="CU112">
        <f t="shared" si="80"/>
        <v>0</v>
      </c>
      <c r="CV112">
        <f t="shared" si="80"/>
        <v>30.1</v>
      </c>
      <c r="CW112">
        <f t="shared" si="80"/>
        <v>9.44</v>
      </c>
      <c r="CX112">
        <f t="shared" si="80"/>
        <v>0</v>
      </c>
      <c r="CY112">
        <f>(((S112+R112)*AT112)/100)</f>
        <v>6630.012000000001</v>
      </c>
      <c r="CZ112">
        <f>(((S112+R112)*AU112)/100)</f>
        <v>4256.304</v>
      </c>
      <c r="DN112">
        <v>0</v>
      </c>
      <c r="DO112">
        <v>0</v>
      </c>
      <c r="DP112">
        <v>1</v>
      </c>
      <c r="DQ112">
        <v>1</v>
      </c>
      <c r="DU112">
        <v>1013</v>
      </c>
      <c r="DV112" t="s">
        <v>153</v>
      </c>
      <c r="DW112" t="s">
        <v>153</v>
      </c>
      <c r="DX112">
        <v>1</v>
      </c>
      <c r="EE112">
        <v>39125249</v>
      </c>
      <c r="EF112">
        <v>3</v>
      </c>
      <c r="EG112" t="s">
        <v>155</v>
      </c>
      <c r="EH112">
        <v>0</v>
      </c>
      <c r="EJ112">
        <v>2</v>
      </c>
      <c r="EK112">
        <v>108001</v>
      </c>
      <c r="EL112" t="s">
        <v>156</v>
      </c>
      <c r="EM112" t="s">
        <v>157</v>
      </c>
      <c r="EQ112">
        <v>0</v>
      </c>
      <c r="ER112">
        <v>1890.27</v>
      </c>
      <c r="ES112">
        <v>711.99</v>
      </c>
      <c r="ET112">
        <v>888.72</v>
      </c>
      <c r="EU112">
        <v>120.52</v>
      </c>
      <c r="EV112">
        <v>289.56</v>
      </c>
      <c r="EW112">
        <v>30.1</v>
      </c>
      <c r="EX112">
        <v>9.44</v>
      </c>
      <c r="EY112">
        <v>0</v>
      </c>
      <c r="FQ112">
        <v>0</v>
      </c>
      <c r="FR112">
        <f>ROUND(IF(AND(BH112=3,BI112=3),P112,0),1)</f>
        <v>0</v>
      </c>
      <c r="FS112">
        <v>0</v>
      </c>
      <c r="FV112" t="s">
        <v>31</v>
      </c>
      <c r="FW112" t="s">
        <v>32</v>
      </c>
      <c r="FX112">
        <v>95</v>
      </c>
      <c r="FY112">
        <v>65</v>
      </c>
      <c r="GD112">
        <v>0</v>
      </c>
      <c r="GF112">
        <v>-1507269474</v>
      </c>
      <c r="GG112">
        <v>2</v>
      </c>
      <c r="GH112">
        <v>1</v>
      </c>
      <c r="GI112">
        <v>4</v>
      </c>
      <c r="GJ112">
        <v>0</v>
      </c>
      <c r="GK112">
        <f>ROUND(R112*(R12)/100,1)</f>
        <v>0</v>
      </c>
      <c r="GL112">
        <f>ROUND(IF(AND(BH112=3,BI112=3,FS112&lt;&gt;0),P112,0),1)</f>
        <v>0</v>
      </c>
      <c r="GM112">
        <f>ROUND(O112+X112+Y112+GK112,1)+GX112</f>
        <v>27014.6</v>
      </c>
      <c r="GN112">
        <f>IF(OR(BI112=0,BI112=1),GM112,0)</f>
        <v>0</v>
      </c>
      <c r="GO112">
        <f>IF(BI112=2,GM112,0)</f>
        <v>27014.6</v>
      </c>
      <c r="GP112">
        <f>IF(BI112=4,GM112,0)</f>
        <v>0</v>
      </c>
      <c r="GR112">
        <v>0</v>
      </c>
      <c r="GS112">
        <v>3</v>
      </c>
      <c r="GT112">
        <v>0</v>
      </c>
      <c r="GV112">
        <f>ROUND(GT112,6)</f>
        <v>0</v>
      </c>
      <c r="GW112">
        <v>19.96</v>
      </c>
      <c r="GX112">
        <f>ROUND(GV112*GW112*I112,1)</f>
        <v>0</v>
      </c>
      <c r="HA112">
        <v>0</v>
      </c>
      <c r="HB112">
        <v>0</v>
      </c>
      <c r="IK112">
        <v>0</v>
      </c>
    </row>
    <row r="113" spans="1:245" ht="12.75">
      <c r="A113">
        <v>18</v>
      </c>
      <c r="B113">
        <v>1</v>
      </c>
      <c r="C113">
        <v>40</v>
      </c>
      <c r="E113" t="s">
        <v>169</v>
      </c>
      <c r="F113" t="s">
        <v>158</v>
      </c>
      <c r="G113" t="s">
        <v>170</v>
      </c>
      <c r="H113" t="s">
        <v>160</v>
      </c>
      <c r="I113">
        <f>I112*J113</f>
        <v>2</v>
      </c>
      <c r="J113">
        <v>2</v>
      </c>
      <c r="O113">
        <f>ROUND(CP113,1)</f>
        <v>552493.2</v>
      </c>
      <c r="P113">
        <f>ROUND(CQ113*I113,1)</f>
        <v>552493.2</v>
      </c>
      <c r="Q113">
        <f>ROUND(CR113*I113,1)</f>
        <v>0</v>
      </c>
      <c r="R113">
        <f>ROUND(CS113*I113,1)</f>
        <v>0</v>
      </c>
      <c r="S113">
        <f>ROUND(CT113*I113,1)</f>
        <v>0</v>
      </c>
      <c r="T113">
        <f>ROUND(CU113*I113,1)</f>
        <v>0</v>
      </c>
      <c r="U113">
        <f>CV113*I113</f>
        <v>0</v>
      </c>
      <c r="V113">
        <f>CW113*I113</f>
        <v>0</v>
      </c>
      <c r="W113">
        <f>ROUND(CX113*I113,1)</f>
        <v>0</v>
      </c>
      <c r="X113">
        <f t="shared" si="77"/>
        <v>0</v>
      </c>
      <c r="Y113">
        <f t="shared" si="77"/>
        <v>0</v>
      </c>
      <c r="AA113">
        <v>42253831</v>
      </c>
      <c r="AB113">
        <f>ROUND((AC113+AD113+AF113),6)</f>
        <v>70291.758313</v>
      </c>
      <c r="AC113">
        <f>ROUND((325971/1.18/3.93),6)</f>
        <v>70291.758313</v>
      </c>
      <c r="AD113">
        <f>ROUND((((ET113)-(EU113))+AE113),6)</f>
        <v>0</v>
      </c>
      <c r="AE113">
        <f t="shared" si="78"/>
        <v>0</v>
      </c>
      <c r="AF113">
        <f t="shared" si="78"/>
        <v>0</v>
      </c>
      <c r="AG113">
        <f>ROUND((AP113),6)</f>
        <v>0</v>
      </c>
      <c r="AH113">
        <f t="shared" si="79"/>
        <v>0</v>
      </c>
      <c r="AI113">
        <f t="shared" si="79"/>
        <v>0</v>
      </c>
      <c r="AJ113">
        <f>ROUND((AS113),6)</f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v>3.93</v>
      </c>
      <c r="BH113">
        <v>3</v>
      </c>
      <c r="BI113">
        <v>3</v>
      </c>
      <c r="BM113">
        <v>1100</v>
      </c>
      <c r="BN113">
        <v>0</v>
      </c>
      <c r="BO113" t="s">
        <v>27</v>
      </c>
      <c r="BP113">
        <v>1</v>
      </c>
      <c r="BQ113">
        <v>8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Z113">
        <v>0</v>
      </c>
      <c r="CA113">
        <v>0</v>
      </c>
      <c r="CF113">
        <v>0</v>
      </c>
      <c r="CG113">
        <v>0</v>
      </c>
      <c r="CM113">
        <v>0</v>
      </c>
      <c r="CO113">
        <v>0</v>
      </c>
      <c r="CP113">
        <f>(P113+Q113+S113)</f>
        <v>552493.2</v>
      </c>
      <c r="CQ113">
        <f>AC113*BC113</f>
        <v>276246.61017009</v>
      </c>
      <c r="CR113">
        <f>AD113*BB113</f>
        <v>0</v>
      </c>
      <c r="CS113">
        <f>AE113*BS113</f>
        <v>0</v>
      </c>
      <c r="CT113">
        <f>AF113*BA113</f>
        <v>0</v>
      </c>
      <c r="CU113">
        <f t="shared" si="80"/>
        <v>0</v>
      </c>
      <c r="CV113">
        <f t="shared" si="80"/>
        <v>0</v>
      </c>
      <c r="CW113">
        <f t="shared" si="80"/>
        <v>0</v>
      </c>
      <c r="CX113">
        <f t="shared" si="80"/>
        <v>0</v>
      </c>
      <c r="CY113">
        <f>(((S113+R113)*AT113)/100)</f>
        <v>0</v>
      </c>
      <c r="CZ113">
        <f>(((S113+R113)*AU113)/100)</f>
        <v>0</v>
      </c>
      <c r="DD113" t="s">
        <v>171</v>
      </c>
      <c r="DN113">
        <v>0</v>
      </c>
      <c r="DO113">
        <v>0</v>
      </c>
      <c r="DP113">
        <v>1</v>
      </c>
      <c r="DQ113">
        <v>1</v>
      </c>
      <c r="DU113">
        <v>1010</v>
      </c>
      <c r="DV113" t="s">
        <v>160</v>
      </c>
      <c r="DW113" t="s">
        <v>162</v>
      </c>
      <c r="DX113">
        <v>1</v>
      </c>
      <c r="EE113">
        <v>39125556</v>
      </c>
      <c r="EF113">
        <v>8</v>
      </c>
      <c r="EG113" t="s">
        <v>142</v>
      </c>
      <c r="EH113">
        <v>0</v>
      </c>
      <c r="EJ113">
        <v>1</v>
      </c>
      <c r="EK113">
        <v>1100</v>
      </c>
      <c r="EL113" t="s">
        <v>163</v>
      </c>
      <c r="EM113" t="s">
        <v>164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FQ113">
        <v>0</v>
      </c>
      <c r="FR113">
        <f>ROUND(IF(AND(BH113=3,BI113=3),P113,0),1)</f>
        <v>552493.2</v>
      </c>
      <c r="FS113">
        <v>0</v>
      </c>
      <c r="FX113">
        <v>0</v>
      </c>
      <c r="FY113">
        <v>0</v>
      </c>
      <c r="GD113">
        <v>0</v>
      </c>
      <c r="GF113">
        <v>-1527253301</v>
      </c>
      <c r="GG113">
        <v>2</v>
      </c>
      <c r="GH113">
        <v>0</v>
      </c>
      <c r="GI113">
        <v>4</v>
      </c>
      <c r="GJ113">
        <v>0</v>
      </c>
      <c r="GK113">
        <f>ROUND(R113*(R12)/100,1)</f>
        <v>0</v>
      </c>
      <c r="GL113">
        <f>ROUND(IF(AND(BH113=3,BI113=3,FS113&lt;&gt;0),P113,0),1)</f>
        <v>0</v>
      </c>
      <c r="GM113">
        <f>ROUND(O113+X113+Y113+GK113,1)+GX113</f>
        <v>552493.2</v>
      </c>
      <c r="GN113">
        <f>IF(OR(BI113=0,BI113=1),GM113,0)</f>
        <v>0</v>
      </c>
      <c r="GO113">
        <f>IF(BI113=2,GM113,0)</f>
        <v>0</v>
      </c>
      <c r="GP113">
        <f>IF(BI113=4,GM113,0)</f>
        <v>0</v>
      </c>
      <c r="GR113">
        <v>0</v>
      </c>
      <c r="GS113">
        <v>3</v>
      </c>
      <c r="GT113">
        <v>0</v>
      </c>
      <c r="GV113">
        <f>ROUND(GT113,6)</f>
        <v>0</v>
      </c>
      <c r="GW113">
        <v>1</v>
      </c>
      <c r="GX113">
        <f>ROUND(GV113*GW113*I113,1)</f>
        <v>0</v>
      </c>
      <c r="HA113">
        <v>0</v>
      </c>
      <c r="HB113">
        <v>0</v>
      </c>
      <c r="IK113">
        <v>0</v>
      </c>
    </row>
    <row r="115" spans="1:206" ht="12.75">
      <c r="A115" s="2">
        <v>51</v>
      </c>
      <c r="B115" s="2">
        <f>B106</f>
        <v>1</v>
      </c>
      <c r="C115" s="2">
        <f>A106</f>
        <v>4</v>
      </c>
      <c r="D115" s="2">
        <f>ROW(A106)</f>
        <v>106</v>
      </c>
      <c r="E115" s="2"/>
      <c r="F115" s="2" t="str">
        <f>IF(F106&lt;&gt;"",F106,"")</f>
        <v>Новый раздел</v>
      </c>
      <c r="G115" s="2" t="str">
        <f>IF(G106&lt;&gt;"",G106,"")</f>
        <v>Оборудование.</v>
      </c>
      <c r="H115" s="2">
        <v>0</v>
      </c>
      <c r="I115" s="2"/>
      <c r="J115" s="2"/>
      <c r="K115" s="2"/>
      <c r="L115" s="2"/>
      <c r="M115" s="2"/>
      <c r="N115" s="2"/>
      <c r="O115" s="2">
        <f aca="true" t="shared" si="81" ref="O115:T115">ROUND(AB115,1)</f>
        <v>2478444.6</v>
      </c>
      <c r="P115" s="2">
        <f t="shared" si="81"/>
        <v>2449193</v>
      </c>
      <c r="Q115" s="2">
        <f t="shared" si="81"/>
        <v>15349.7</v>
      </c>
      <c r="R115" s="2">
        <f t="shared" si="81"/>
        <v>5579.2</v>
      </c>
      <c r="S115" s="2">
        <f t="shared" si="81"/>
        <v>13901.9</v>
      </c>
      <c r="T115" s="2">
        <f t="shared" si="81"/>
        <v>0</v>
      </c>
      <c r="U115" s="2">
        <f>AH115</f>
        <v>72.4</v>
      </c>
      <c r="V115" s="2">
        <f>AI115</f>
        <v>21.53</v>
      </c>
      <c r="W115" s="2">
        <f>ROUND(AJ115,1)</f>
        <v>0</v>
      </c>
      <c r="X115" s="2">
        <f>ROUND(AK115,1)</f>
        <v>15779.7</v>
      </c>
      <c r="Y115" s="2">
        <f>ROUND(AL115,1)</f>
        <v>10130.2</v>
      </c>
      <c r="Z115" s="2"/>
      <c r="AA115" s="2"/>
      <c r="AB115" s="2">
        <f>ROUND(SUMIF(AA110:AA113,"=42253831",O110:O113),1)</f>
        <v>2478444.6</v>
      </c>
      <c r="AC115" s="2">
        <f>ROUND(SUMIF(AA110:AA113,"=42253831",P110:P113),1)</f>
        <v>2449193</v>
      </c>
      <c r="AD115" s="2">
        <f>ROUND(SUMIF(AA110:AA113,"=42253831",Q110:Q113),1)</f>
        <v>15349.7</v>
      </c>
      <c r="AE115" s="2">
        <f>ROUND(SUMIF(AA110:AA113,"=42253831",R110:R113),1)</f>
        <v>5579.2</v>
      </c>
      <c r="AF115" s="2">
        <f>ROUND(SUMIF(AA110:AA113,"=42253831",S110:S113),1)</f>
        <v>13901.9</v>
      </c>
      <c r="AG115" s="2">
        <f>ROUND(SUMIF(AA110:AA113,"=42253831",T110:T113),1)</f>
        <v>0</v>
      </c>
      <c r="AH115" s="2">
        <f>SUMIF(AA110:AA113,"=42253831",U110:U113)</f>
        <v>72.4</v>
      </c>
      <c r="AI115" s="2">
        <f>SUMIF(AA110:AA113,"=42253831",V110:V113)</f>
        <v>21.53</v>
      </c>
      <c r="AJ115" s="2">
        <f>ROUND(SUMIF(AA110:AA113,"=42253831",W110:W113),1)</f>
        <v>0</v>
      </c>
      <c r="AK115" s="2">
        <f>ROUND(SUMIF(AA110:AA113,"=42253831",X110:X113),1)</f>
        <v>15779.7</v>
      </c>
      <c r="AL115" s="2">
        <f>ROUND(SUMIF(AA110:AA113,"=42253831",Y110:Y113),1)</f>
        <v>10130.2</v>
      </c>
      <c r="AM115" s="2"/>
      <c r="AN115" s="2"/>
      <c r="AO115" s="2">
        <f aca="true" t="shared" si="82" ref="AO115:BC115">ROUND(BX115,1)</f>
        <v>0</v>
      </c>
      <c r="AP115" s="2">
        <f t="shared" si="82"/>
        <v>2444501.7</v>
      </c>
      <c r="AQ115" s="2">
        <f t="shared" si="82"/>
        <v>0</v>
      </c>
      <c r="AR115" s="2">
        <f t="shared" si="82"/>
        <v>2504354.5</v>
      </c>
      <c r="AS115" s="2">
        <f t="shared" si="82"/>
        <v>0</v>
      </c>
      <c r="AT115" s="2">
        <f t="shared" si="82"/>
        <v>59852.8</v>
      </c>
      <c r="AU115" s="2">
        <f t="shared" si="82"/>
        <v>0</v>
      </c>
      <c r="AV115" s="2">
        <f t="shared" si="82"/>
        <v>2449193</v>
      </c>
      <c r="AW115" s="2">
        <f t="shared" si="82"/>
        <v>4691.3</v>
      </c>
      <c r="AX115" s="2">
        <f t="shared" si="82"/>
        <v>0</v>
      </c>
      <c r="AY115" s="2">
        <f t="shared" si="82"/>
        <v>4691.3</v>
      </c>
      <c r="AZ115" s="2">
        <f t="shared" si="82"/>
        <v>2444501.7</v>
      </c>
      <c r="BA115" s="2">
        <f t="shared" si="82"/>
        <v>0</v>
      </c>
      <c r="BB115" s="2">
        <f t="shared" si="82"/>
        <v>0</v>
      </c>
      <c r="BC115" s="2">
        <f t="shared" si="82"/>
        <v>0</v>
      </c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>
        <f>ROUND(SUMIF(AA110:AA113,"=42253831",FQ110:FQ113),1)</f>
        <v>0</v>
      </c>
      <c r="BY115" s="2">
        <f>ROUND(SUMIF(AA110:AA113,"=42253831",FR110:FR113),1)</f>
        <v>2444501.7</v>
      </c>
      <c r="BZ115" s="2">
        <f>ROUND(SUMIF(AA110:AA113,"=42253831",GL110:GL113),1)</f>
        <v>0</v>
      </c>
      <c r="CA115" s="2">
        <f>ROUND(SUMIF(AA110:AA113,"=42253831",GM110:GM113),1)</f>
        <v>2504354.5</v>
      </c>
      <c r="CB115" s="2">
        <f>ROUND(SUMIF(AA110:AA113,"=42253831",GN110:GN113),1)</f>
        <v>0</v>
      </c>
      <c r="CC115" s="2">
        <f>ROUND(SUMIF(AA110:AA113,"=42253831",GO110:GO113),1)</f>
        <v>59852.8</v>
      </c>
      <c r="CD115" s="2">
        <f>ROUND(SUMIF(AA110:AA113,"=42253831",GP110:GP113),1)</f>
        <v>0</v>
      </c>
      <c r="CE115" s="2">
        <f>AC115-BX115</f>
        <v>2449193</v>
      </c>
      <c r="CF115" s="2">
        <f>AC115-BY115</f>
        <v>4691.299999999814</v>
      </c>
      <c r="CG115" s="2">
        <f>BX115-BZ115</f>
        <v>0</v>
      </c>
      <c r="CH115" s="2">
        <f>AC115-BX115-BY115+BZ115</f>
        <v>4691.299999999814</v>
      </c>
      <c r="CI115" s="2">
        <f>BY115-BZ115</f>
        <v>2444501.7</v>
      </c>
      <c r="CJ115" s="2">
        <f>ROUND(SUMIF(AA110:AA113,"=42253831",GX110:GX113),1)</f>
        <v>0</v>
      </c>
      <c r="CK115" s="2">
        <f>ROUND(SUMIF(AA110:AA113,"=42253831",GY110:GY113),1)</f>
        <v>0</v>
      </c>
      <c r="CL115" s="2">
        <f>ROUND(SUMIF(AA110:AA113,"=42253831",GZ110:GZ113),1)</f>
        <v>0</v>
      </c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>
        <v>0</v>
      </c>
    </row>
    <row r="117" spans="1:23" ht="12.75">
      <c r="A117" s="4">
        <v>50</v>
      </c>
      <c r="B117" s="4">
        <v>1</v>
      </c>
      <c r="C117" s="4">
        <v>0</v>
      </c>
      <c r="D117" s="4">
        <v>1</v>
      </c>
      <c r="E117" s="4">
        <v>201</v>
      </c>
      <c r="F117" s="4">
        <f>ROUND(Source!O115,O117)</f>
        <v>2478444.6</v>
      </c>
      <c r="G117" s="4" t="s">
        <v>50</v>
      </c>
      <c r="H117" s="4" t="s">
        <v>51</v>
      </c>
      <c r="I117" s="4"/>
      <c r="J117" s="4"/>
      <c r="K117" s="4">
        <v>201</v>
      </c>
      <c r="L117" s="4">
        <v>1</v>
      </c>
      <c r="M117" s="4">
        <v>0</v>
      </c>
      <c r="N117" s="4" t="s">
        <v>3</v>
      </c>
      <c r="O117" s="4">
        <v>1</v>
      </c>
      <c r="P117" s="4"/>
      <c r="Q117" s="4"/>
      <c r="R117" s="4"/>
      <c r="S117" s="4"/>
      <c r="T117" s="4"/>
      <c r="U117" s="4"/>
      <c r="V117" s="4"/>
      <c r="W117" s="4"/>
    </row>
    <row r="118" spans="1:23" ht="12.75">
      <c r="A118" s="4">
        <v>50</v>
      </c>
      <c r="B118" s="4">
        <v>1</v>
      </c>
      <c r="C118" s="4">
        <v>0</v>
      </c>
      <c r="D118" s="4">
        <v>1</v>
      </c>
      <c r="E118" s="4">
        <v>202</v>
      </c>
      <c r="F118" s="4">
        <f>ROUND(Source!P115,O118)</f>
        <v>2449193</v>
      </c>
      <c r="G118" s="4" t="s">
        <v>52</v>
      </c>
      <c r="H118" s="4" t="s">
        <v>53</v>
      </c>
      <c r="I118" s="4"/>
      <c r="J118" s="4"/>
      <c r="K118" s="4">
        <v>202</v>
      </c>
      <c r="L118" s="4">
        <v>2</v>
      </c>
      <c r="M118" s="4">
        <v>0</v>
      </c>
      <c r="N118" s="4" t="s">
        <v>3</v>
      </c>
      <c r="O118" s="4">
        <v>1</v>
      </c>
      <c r="P118" s="4"/>
      <c r="Q118" s="4"/>
      <c r="R118" s="4"/>
      <c r="S118" s="4"/>
      <c r="T118" s="4"/>
      <c r="U118" s="4"/>
      <c r="V118" s="4"/>
      <c r="W118" s="4"/>
    </row>
    <row r="119" spans="1:23" ht="12.75">
      <c r="A119" s="4">
        <v>50</v>
      </c>
      <c r="B119" s="4">
        <v>0</v>
      </c>
      <c r="C119" s="4">
        <v>0</v>
      </c>
      <c r="D119" s="4">
        <v>1</v>
      </c>
      <c r="E119" s="4">
        <v>222</v>
      </c>
      <c r="F119" s="4">
        <f>ROUND(Source!AO115,O119)</f>
        <v>0</v>
      </c>
      <c r="G119" s="4" t="s">
        <v>54</v>
      </c>
      <c r="H119" s="4" t="s">
        <v>55</v>
      </c>
      <c r="I119" s="4"/>
      <c r="J119" s="4"/>
      <c r="K119" s="4">
        <v>222</v>
      </c>
      <c r="L119" s="4">
        <v>3</v>
      </c>
      <c r="M119" s="4">
        <v>3</v>
      </c>
      <c r="N119" s="4" t="s">
        <v>3</v>
      </c>
      <c r="O119" s="4">
        <v>1</v>
      </c>
      <c r="P119" s="4"/>
      <c r="Q119" s="4"/>
      <c r="R119" s="4"/>
      <c r="S119" s="4"/>
      <c r="T119" s="4"/>
      <c r="U119" s="4"/>
      <c r="V119" s="4"/>
      <c r="W119" s="4"/>
    </row>
    <row r="120" spans="1:23" ht="12.75">
      <c r="A120" s="4">
        <v>50</v>
      </c>
      <c r="B120" s="4">
        <v>0</v>
      </c>
      <c r="C120" s="4">
        <v>0</v>
      </c>
      <c r="D120" s="4">
        <v>1</v>
      </c>
      <c r="E120" s="4">
        <v>225</v>
      </c>
      <c r="F120" s="4">
        <f>ROUND(Source!AV115,O120)</f>
        <v>2449193</v>
      </c>
      <c r="G120" s="4" t="s">
        <v>56</v>
      </c>
      <c r="H120" s="4" t="s">
        <v>57</v>
      </c>
      <c r="I120" s="4"/>
      <c r="J120" s="4"/>
      <c r="K120" s="4">
        <v>225</v>
      </c>
      <c r="L120" s="4">
        <v>4</v>
      </c>
      <c r="M120" s="4">
        <v>3</v>
      </c>
      <c r="N120" s="4" t="s">
        <v>3</v>
      </c>
      <c r="O120" s="4">
        <v>1</v>
      </c>
      <c r="P120" s="4"/>
      <c r="Q120" s="4"/>
      <c r="R120" s="4"/>
      <c r="S120" s="4"/>
      <c r="T120" s="4"/>
      <c r="U120" s="4"/>
      <c r="V120" s="4"/>
      <c r="W120" s="4"/>
    </row>
    <row r="121" spans="1:23" ht="12.75">
      <c r="A121" s="4">
        <v>50</v>
      </c>
      <c r="B121" s="4">
        <v>1</v>
      </c>
      <c r="C121" s="4">
        <v>0</v>
      </c>
      <c r="D121" s="4">
        <v>1</v>
      </c>
      <c r="E121" s="4">
        <v>226</v>
      </c>
      <c r="F121" s="4">
        <f>ROUND(Source!AW115,O121)</f>
        <v>4691.3</v>
      </c>
      <c r="G121" s="4" t="s">
        <v>58</v>
      </c>
      <c r="H121" s="4" t="s">
        <v>59</v>
      </c>
      <c r="I121" s="4"/>
      <c r="J121" s="4"/>
      <c r="K121" s="4">
        <v>226</v>
      </c>
      <c r="L121" s="4">
        <v>5</v>
      </c>
      <c r="M121" s="4">
        <v>0</v>
      </c>
      <c r="N121" s="4" t="s">
        <v>3</v>
      </c>
      <c r="O121" s="4">
        <v>1</v>
      </c>
      <c r="P121" s="4"/>
      <c r="Q121" s="4"/>
      <c r="R121" s="4"/>
      <c r="S121" s="4"/>
      <c r="T121" s="4"/>
      <c r="U121" s="4"/>
      <c r="V121" s="4"/>
      <c r="W121" s="4"/>
    </row>
    <row r="122" spans="1:23" ht="12.75">
      <c r="A122" s="4">
        <v>50</v>
      </c>
      <c r="B122" s="4">
        <v>0</v>
      </c>
      <c r="C122" s="4">
        <v>0</v>
      </c>
      <c r="D122" s="4">
        <v>1</v>
      </c>
      <c r="E122" s="4">
        <v>227</v>
      </c>
      <c r="F122" s="4">
        <f>ROUND(Source!AX115,O122)</f>
        <v>0</v>
      </c>
      <c r="G122" s="4" t="s">
        <v>60</v>
      </c>
      <c r="H122" s="4" t="s">
        <v>61</v>
      </c>
      <c r="I122" s="4"/>
      <c r="J122" s="4"/>
      <c r="K122" s="4">
        <v>227</v>
      </c>
      <c r="L122" s="4">
        <v>6</v>
      </c>
      <c r="M122" s="4">
        <v>3</v>
      </c>
      <c r="N122" s="4" t="s">
        <v>3</v>
      </c>
      <c r="O122" s="4">
        <v>1</v>
      </c>
      <c r="P122" s="4"/>
      <c r="Q122" s="4"/>
      <c r="R122" s="4"/>
      <c r="S122" s="4"/>
      <c r="T122" s="4"/>
      <c r="U122" s="4"/>
      <c r="V122" s="4"/>
      <c r="W122" s="4"/>
    </row>
    <row r="123" spans="1:23" ht="12.75">
      <c r="A123" s="4">
        <v>50</v>
      </c>
      <c r="B123" s="4">
        <v>0</v>
      </c>
      <c r="C123" s="4">
        <v>0</v>
      </c>
      <c r="D123" s="4">
        <v>1</v>
      </c>
      <c r="E123" s="4">
        <v>228</v>
      </c>
      <c r="F123" s="4">
        <f>ROUND(Source!AY115,O123)</f>
        <v>4691.3</v>
      </c>
      <c r="G123" s="4" t="s">
        <v>62</v>
      </c>
      <c r="H123" s="4" t="s">
        <v>63</v>
      </c>
      <c r="I123" s="4"/>
      <c r="J123" s="4"/>
      <c r="K123" s="4">
        <v>228</v>
      </c>
      <c r="L123" s="4">
        <v>7</v>
      </c>
      <c r="M123" s="4">
        <v>3</v>
      </c>
      <c r="N123" s="4" t="s">
        <v>3</v>
      </c>
      <c r="O123" s="4">
        <v>1</v>
      </c>
      <c r="P123" s="4"/>
      <c r="Q123" s="4"/>
      <c r="R123" s="4"/>
      <c r="S123" s="4"/>
      <c r="T123" s="4"/>
      <c r="U123" s="4"/>
      <c r="V123" s="4"/>
      <c r="W123" s="4"/>
    </row>
    <row r="124" spans="1:23" ht="12.75">
      <c r="A124" s="4">
        <v>50</v>
      </c>
      <c r="B124" s="4">
        <v>1</v>
      </c>
      <c r="C124" s="4">
        <v>0</v>
      </c>
      <c r="D124" s="4">
        <v>1</v>
      </c>
      <c r="E124" s="4">
        <v>216</v>
      </c>
      <c r="F124" s="4">
        <f>ROUND(Source!AP115,O124)</f>
        <v>2444501.7</v>
      </c>
      <c r="G124" s="4" t="s">
        <v>64</v>
      </c>
      <c r="H124" s="4" t="s">
        <v>65</v>
      </c>
      <c r="I124" s="4"/>
      <c r="J124" s="4"/>
      <c r="K124" s="4">
        <v>216</v>
      </c>
      <c r="L124" s="4">
        <v>8</v>
      </c>
      <c r="M124" s="4">
        <v>0</v>
      </c>
      <c r="N124" s="4" t="s">
        <v>3</v>
      </c>
      <c r="O124" s="4">
        <v>1</v>
      </c>
      <c r="P124" s="4"/>
      <c r="Q124" s="4"/>
      <c r="R124" s="4"/>
      <c r="S124" s="4"/>
      <c r="T124" s="4"/>
      <c r="U124" s="4"/>
      <c r="V124" s="4"/>
      <c r="W124" s="4"/>
    </row>
    <row r="125" spans="1:23" ht="12.75">
      <c r="A125" s="4">
        <v>50</v>
      </c>
      <c r="B125" s="4">
        <v>0</v>
      </c>
      <c r="C125" s="4">
        <v>0</v>
      </c>
      <c r="D125" s="4">
        <v>1</v>
      </c>
      <c r="E125" s="4">
        <v>223</v>
      </c>
      <c r="F125" s="4">
        <f>ROUND(Source!AQ115,O125)</f>
        <v>0</v>
      </c>
      <c r="G125" s="4" t="s">
        <v>66</v>
      </c>
      <c r="H125" s="4" t="s">
        <v>67</v>
      </c>
      <c r="I125" s="4"/>
      <c r="J125" s="4"/>
      <c r="K125" s="4">
        <v>223</v>
      </c>
      <c r="L125" s="4">
        <v>9</v>
      </c>
      <c r="M125" s="4">
        <v>3</v>
      </c>
      <c r="N125" s="4" t="s">
        <v>3</v>
      </c>
      <c r="O125" s="4">
        <v>1</v>
      </c>
      <c r="P125" s="4"/>
      <c r="Q125" s="4"/>
      <c r="R125" s="4"/>
      <c r="S125" s="4"/>
      <c r="T125" s="4"/>
      <c r="U125" s="4"/>
      <c r="V125" s="4"/>
      <c r="W125" s="4"/>
    </row>
    <row r="126" spans="1:23" ht="12.75">
      <c r="A126" s="4">
        <v>50</v>
      </c>
      <c r="B126" s="4">
        <v>0</v>
      </c>
      <c r="C126" s="4">
        <v>0</v>
      </c>
      <c r="D126" s="4">
        <v>1</v>
      </c>
      <c r="E126" s="4">
        <v>229</v>
      </c>
      <c r="F126" s="4">
        <f>ROUND(Source!AZ115,O126)</f>
        <v>2444501.7</v>
      </c>
      <c r="G126" s="4" t="s">
        <v>68</v>
      </c>
      <c r="H126" s="4" t="s">
        <v>69</v>
      </c>
      <c r="I126" s="4"/>
      <c r="J126" s="4"/>
      <c r="K126" s="4">
        <v>229</v>
      </c>
      <c r="L126" s="4">
        <v>10</v>
      </c>
      <c r="M126" s="4">
        <v>3</v>
      </c>
      <c r="N126" s="4" t="s">
        <v>3</v>
      </c>
      <c r="O126" s="4">
        <v>1</v>
      </c>
      <c r="P126" s="4"/>
      <c r="Q126" s="4"/>
      <c r="R126" s="4"/>
      <c r="S126" s="4"/>
      <c r="T126" s="4"/>
      <c r="U126" s="4"/>
      <c r="V126" s="4"/>
      <c r="W126" s="4"/>
    </row>
    <row r="127" spans="1:23" ht="12.75">
      <c r="A127" s="4">
        <v>50</v>
      </c>
      <c r="B127" s="4">
        <v>1</v>
      </c>
      <c r="C127" s="4">
        <v>0</v>
      </c>
      <c r="D127" s="4">
        <v>1</v>
      </c>
      <c r="E127" s="4">
        <v>203</v>
      </c>
      <c r="F127" s="4">
        <f>ROUND(Source!Q115,O127)</f>
        <v>15349.7</v>
      </c>
      <c r="G127" s="4" t="s">
        <v>70</v>
      </c>
      <c r="H127" s="4" t="s">
        <v>71</v>
      </c>
      <c r="I127" s="4"/>
      <c r="J127" s="4"/>
      <c r="K127" s="4">
        <v>203</v>
      </c>
      <c r="L127" s="4">
        <v>11</v>
      </c>
      <c r="M127" s="4">
        <v>0</v>
      </c>
      <c r="N127" s="4" t="s">
        <v>3</v>
      </c>
      <c r="O127" s="4">
        <v>1</v>
      </c>
      <c r="P127" s="4"/>
      <c r="Q127" s="4"/>
      <c r="R127" s="4"/>
      <c r="S127" s="4"/>
      <c r="T127" s="4"/>
      <c r="U127" s="4"/>
      <c r="V127" s="4"/>
      <c r="W127" s="4"/>
    </row>
    <row r="128" spans="1:23" ht="12.75">
      <c r="A128" s="4">
        <v>50</v>
      </c>
      <c r="B128" s="4">
        <v>0</v>
      </c>
      <c r="C128" s="4">
        <v>0</v>
      </c>
      <c r="D128" s="4">
        <v>1</v>
      </c>
      <c r="E128" s="4">
        <v>231</v>
      </c>
      <c r="F128" s="4">
        <f>ROUND(Source!BB115,O128)</f>
        <v>0</v>
      </c>
      <c r="G128" s="4" t="s">
        <v>72</v>
      </c>
      <c r="H128" s="4" t="s">
        <v>73</v>
      </c>
      <c r="I128" s="4"/>
      <c r="J128" s="4"/>
      <c r="K128" s="4">
        <v>231</v>
      </c>
      <c r="L128" s="4">
        <v>12</v>
      </c>
      <c r="M128" s="4">
        <v>3</v>
      </c>
      <c r="N128" s="4" t="s">
        <v>3</v>
      </c>
      <c r="O128" s="4">
        <v>1</v>
      </c>
      <c r="P128" s="4"/>
      <c r="Q128" s="4"/>
      <c r="R128" s="4"/>
      <c r="S128" s="4"/>
      <c r="T128" s="4"/>
      <c r="U128" s="4"/>
      <c r="V128" s="4"/>
      <c r="W128" s="4"/>
    </row>
    <row r="129" spans="1:23" ht="12.75">
      <c r="A129" s="4">
        <v>50</v>
      </c>
      <c r="B129" s="4">
        <v>1</v>
      </c>
      <c r="C129" s="4">
        <v>0</v>
      </c>
      <c r="D129" s="4">
        <v>1</v>
      </c>
      <c r="E129" s="4">
        <v>204</v>
      </c>
      <c r="F129" s="4">
        <f>ROUND(Source!R115,O129)</f>
        <v>5579.2</v>
      </c>
      <c r="G129" s="4" t="s">
        <v>74</v>
      </c>
      <c r="H129" s="4" t="s">
        <v>75</v>
      </c>
      <c r="I129" s="4"/>
      <c r="J129" s="4"/>
      <c r="K129" s="4">
        <v>204</v>
      </c>
      <c r="L129" s="4">
        <v>13</v>
      </c>
      <c r="M129" s="4">
        <v>0</v>
      </c>
      <c r="N129" s="4" t="s">
        <v>3</v>
      </c>
      <c r="O129" s="4">
        <v>1</v>
      </c>
      <c r="P129" s="4"/>
      <c r="Q129" s="4"/>
      <c r="R129" s="4"/>
      <c r="S129" s="4"/>
      <c r="T129" s="4"/>
      <c r="U129" s="4"/>
      <c r="V129" s="4"/>
      <c r="W129" s="4"/>
    </row>
    <row r="130" spans="1:23" ht="12.75">
      <c r="A130" s="4">
        <v>50</v>
      </c>
      <c r="B130" s="4">
        <v>1</v>
      </c>
      <c r="C130" s="4">
        <v>0</v>
      </c>
      <c r="D130" s="4">
        <v>1</v>
      </c>
      <c r="E130" s="4">
        <v>205</v>
      </c>
      <c r="F130" s="4">
        <f>ROUND(Source!S115,O130)</f>
        <v>13901.9</v>
      </c>
      <c r="G130" s="4" t="s">
        <v>76</v>
      </c>
      <c r="H130" s="4" t="s">
        <v>77</v>
      </c>
      <c r="I130" s="4"/>
      <c r="J130" s="4"/>
      <c r="K130" s="4">
        <v>205</v>
      </c>
      <c r="L130" s="4">
        <v>14</v>
      </c>
      <c r="M130" s="4">
        <v>0</v>
      </c>
      <c r="N130" s="4" t="s">
        <v>3</v>
      </c>
      <c r="O130" s="4">
        <v>1</v>
      </c>
      <c r="P130" s="4"/>
      <c r="Q130" s="4"/>
      <c r="R130" s="4"/>
      <c r="S130" s="4"/>
      <c r="T130" s="4"/>
      <c r="U130" s="4"/>
      <c r="V130" s="4"/>
      <c r="W130" s="4"/>
    </row>
    <row r="131" spans="1:23" ht="12.75">
      <c r="A131" s="4">
        <v>50</v>
      </c>
      <c r="B131" s="4">
        <v>0</v>
      </c>
      <c r="C131" s="4">
        <v>0</v>
      </c>
      <c r="D131" s="4">
        <v>1</v>
      </c>
      <c r="E131" s="4">
        <v>232</v>
      </c>
      <c r="F131" s="4">
        <f>ROUND(Source!BC115,O131)</f>
        <v>0</v>
      </c>
      <c r="G131" s="4" t="s">
        <v>78</v>
      </c>
      <c r="H131" s="4" t="s">
        <v>79</v>
      </c>
      <c r="I131" s="4"/>
      <c r="J131" s="4"/>
      <c r="K131" s="4">
        <v>232</v>
      </c>
      <c r="L131" s="4">
        <v>15</v>
      </c>
      <c r="M131" s="4">
        <v>3</v>
      </c>
      <c r="N131" s="4" t="s">
        <v>3</v>
      </c>
      <c r="O131" s="4">
        <v>1</v>
      </c>
      <c r="P131" s="4"/>
      <c r="Q131" s="4"/>
      <c r="R131" s="4"/>
      <c r="S131" s="4"/>
      <c r="T131" s="4"/>
      <c r="U131" s="4"/>
      <c r="V131" s="4"/>
      <c r="W131" s="4"/>
    </row>
    <row r="132" spans="1:23" ht="12.75">
      <c r="A132" s="4">
        <v>50</v>
      </c>
      <c r="B132" s="4">
        <v>1</v>
      </c>
      <c r="C132" s="4">
        <v>0</v>
      </c>
      <c r="D132" s="4">
        <v>1</v>
      </c>
      <c r="E132" s="4">
        <v>214</v>
      </c>
      <c r="F132" s="4">
        <f>ROUND(Source!AS115,O132)</f>
        <v>0</v>
      </c>
      <c r="G132" s="4" t="s">
        <v>80</v>
      </c>
      <c r="H132" s="4" t="s">
        <v>81</v>
      </c>
      <c r="I132" s="4"/>
      <c r="J132" s="4"/>
      <c r="K132" s="4">
        <v>214</v>
      </c>
      <c r="L132" s="4">
        <v>16</v>
      </c>
      <c r="M132" s="4">
        <v>0</v>
      </c>
      <c r="N132" s="4" t="s">
        <v>3</v>
      </c>
      <c r="O132" s="4">
        <v>1</v>
      </c>
      <c r="P132" s="4"/>
      <c r="Q132" s="4"/>
      <c r="R132" s="4"/>
      <c r="S132" s="4"/>
      <c r="T132" s="4"/>
      <c r="U132" s="4"/>
      <c r="V132" s="4"/>
      <c r="W132" s="4"/>
    </row>
    <row r="133" spans="1:23" ht="12.75">
      <c r="A133" s="4">
        <v>50</v>
      </c>
      <c r="B133" s="4">
        <v>1</v>
      </c>
      <c r="C133" s="4">
        <v>0</v>
      </c>
      <c r="D133" s="4">
        <v>1</v>
      </c>
      <c r="E133" s="4">
        <v>215</v>
      </c>
      <c r="F133" s="4">
        <f>ROUND(Source!AT115,O133)</f>
        <v>59852.8</v>
      </c>
      <c r="G133" s="4" t="s">
        <v>82</v>
      </c>
      <c r="H133" s="4" t="s">
        <v>83</v>
      </c>
      <c r="I133" s="4"/>
      <c r="J133" s="4"/>
      <c r="K133" s="4">
        <v>215</v>
      </c>
      <c r="L133" s="4">
        <v>17</v>
      </c>
      <c r="M133" s="4">
        <v>0</v>
      </c>
      <c r="N133" s="4" t="s">
        <v>3</v>
      </c>
      <c r="O133" s="4">
        <v>1</v>
      </c>
      <c r="P133" s="4"/>
      <c r="Q133" s="4"/>
      <c r="R133" s="4"/>
      <c r="S133" s="4"/>
      <c r="T133" s="4"/>
      <c r="U133" s="4"/>
      <c r="V133" s="4"/>
      <c r="W133" s="4"/>
    </row>
    <row r="134" spans="1:23" ht="12.75">
      <c r="A134" s="4">
        <v>50</v>
      </c>
      <c r="B134" s="4">
        <v>1</v>
      </c>
      <c r="C134" s="4">
        <v>0</v>
      </c>
      <c r="D134" s="4">
        <v>1</v>
      </c>
      <c r="E134" s="4">
        <v>217</v>
      </c>
      <c r="F134" s="4">
        <f>ROUND(Source!AU115,O134)</f>
        <v>0</v>
      </c>
      <c r="G134" s="4" t="s">
        <v>84</v>
      </c>
      <c r="H134" s="4" t="s">
        <v>85</v>
      </c>
      <c r="I134" s="4"/>
      <c r="J134" s="4"/>
      <c r="K134" s="4">
        <v>217</v>
      </c>
      <c r="L134" s="4">
        <v>18</v>
      </c>
      <c r="M134" s="4">
        <v>0</v>
      </c>
      <c r="N134" s="4" t="s">
        <v>3</v>
      </c>
      <c r="O134" s="4">
        <v>1</v>
      </c>
      <c r="P134" s="4"/>
      <c r="Q134" s="4"/>
      <c r="R134" s="4"/>
      <c r="S134" s="4"/>
      <c r="T134" s="4"/>
      <c r="U134" s="4"/>
      <c r="V134" s="4"/>
      <c r="W134" s="4"/>
    </row>
    <row r="135" spans="1:23" ht="12.75">
      <c r="A135" s="4">
        <v>50</v>
      </c>
      <c r="B135" s="4">
        <v>0</v>
      </c>
      <c r="C135" s="4">
        <v>0</v>
      </c>
      <c r="D135" s="4">
        <v>1</v>
      </c>
      <c r="E135" s="4">
        <v>230</v>
      </c>
      <c r="F135" s="4">
        <f>ROUND(Source!BA115,O135)</f>
        <v>0</v>
      </c>
      <c r="G135" s="4" t="s">
        <v>86</v>
      </c>
      <c r="H135" s="4" t="s">
        <v>87</v>
      </c>
      <c r="I135" s="4"/>
      <c r="J135" s="4"/>
      <c r="K135" s="4">
        <v>230</v>
      </c>
      <c r="L135" s="4">
        <v>19</v>
      </c>
      <c r="M135" s="4">
        <v>3</v>
      </c>
      <c r="N135" s="4" t="s">
        <v>3</v>
      </c>
      <c r="O135" s="4">
        <v>1</v>
      </c>
      <c r="P135" s="4"/>
      <c r="Q135" s="4"/>
      <c r="R135" s="4"/>
      <c r="S135" s="4"/>
      <c r="T135" s="4"/>
      <c r="U135" s="4"/>
      <c r="V135" s="4"/>
      <c r="W135" s="4"/>
    </row>
    <row r="136" spans="1:23" ht="12.75">
      <c r="A136" s="4">
        <v>50</v>
      </c>
      <c r="B136" s="4">
        <v>0</v>
      </c>
      <c r="C136" s="4">
        <v>0</v>
      </c>
      <c r="D136" s="4">
        <v>1</v>
      </c>
      <c r="E136" s="4">
        <v>206</v>
      </c>
      <c r="F136" s="4">
        <f>ROUND(Source!T115,O136)</f>
        <v>0</v>
      </c>
      <c r="G136" s="4" t="s">
        <v>88</v>
      </c>
      <c r="H136" s="4" t="s">
        <v>89</v>
      </c>
      <c r="I136" s="4"/>
      <c r="J136" s="4"/>
      <c r="K136" s="4">
        <v>206</v>
      </c>
      <c r="L136" s="4">
        <v>20</v>
      </c>
      <c r="M136" s="4">
        <v>3</v>
      </c>
      <c r="N136" s="4" t="s">
        <v>3</v>
      </c>
      <c r="O136" s="4">
        <v>1</v>
      </c>
      <c r="P136" s="4"/>
      <c r="Q136" s="4"/>
      <c r="R136" s="4"/>
      <c r="S136" s="4"/>
      <c r="T136" s="4"/>
      <c r="U136" s="4"/>
      <c r="V136" s="4"/>
      <c r="W136" s="4"/>
    </row>
    <row r="137" spans="1:23" ht="12.75">
      <c r="A137" s="4">
        <v>50</v>
      </c>
      <c r="B137" s="4">
        <v>1</v>
      </c>
      <c r="C137" s="4">
        <v>0</v>
      </c>
      <c r="D137" s="4">
        <v>1</v>
      </c>
      <c r="E137" s="4">
        <v>207</v>
      </c>
      <c r="F137" s="4">
        <f>Source!U115</f>
        <v>72.4</v>
      </c>
      <c r="G137" s="4" t="s">
        <v>90</v>
      </c>
      <c r="H137" s="4" t="s">
        <v>91</v>
      </c>
      <c r="I137" s="4"/>
      <c r="J137" s="4"/>
      <c r="K137" s="4">
        <v>207</v>
      </c>
      <c r="L137" s="4">
        <v>21</v>
      </c>
      <c r="M137" s="4">
        <v>0</v>
      </c>
      <c r="N137" s="4" t="s">
        <v>3</v>
      </c>
      <c r="O137" s="4">
        <v>-1</v>
      </c>
      <c r="P137" s="4"/>
      <c r="Q137" s="4"/>
      <c r="R137" s="4"/>
      <c r="S137" s="4"/>
      <c r="T137" s="4"/>
      <c r="U137" s="4"/>
      <c r="V137" s="4"/>
      <c r="W137" s="4"/>
    </row>
    <row r="138" spans="1:23" ht="12.75">
      <c r="A138" s="4">
        <v>50</v>
      </c>
      <c r="B138" s="4">
        <v>0</v>
      </c>
      <c r="C138" s="4">
        <v>0</v>
      </c>
      <c r="D138" s="4">
        <v>1</v>
      </c>
      <c r="E138" s="4">
        <v>208</v>
      </c>
      <c r="F138" s="4">
        <f>Source!V115</f>
        <v>21.53</v>
      </c>
      <c r="G138" s="4" t="s">
        <v>92</v>
      </c>
      <c r="H138" s="4" t="s">
        <v>93</v>
      </c>
      <c r="I138" s="4"/>
      <c r="J138" s="4"/>
      <c r="K138" s="4">
        <v>208</v>
      </c>
      <c r="L138" s="4">
        <v>22</v>
      </c>
      <c r="M138" s="4">
        <v>3</v>
      </c>
      <c r="N138" s="4" t="s">
        <v>3</v>
      </c>
      <c r="O138" s="4">
        <v>-1</v>
      </c>
      <c r="P138" s="4"/>
      <c r="Q138" s="4"/>
      <c r="R138" s="4"/>
      <c r="S138" s="4"/>
      <c r="T138" s="4"/>
      <c r="U138" s="4"/>
      <c r="V138" s="4"/>
      <c r="W138" s="4"/>
    </row>
    <row r="139" spans="1:23" ht="12.75">
      <c r="A139" s="4">
        <v>50</v>
      </c>
      <c r="B139" s="4">
        <v>0</v>
      </c>
      <c r="C139" s="4">
        <v>0</v>
      </c>
      <c r="D139" s="4">
        <v>1</v>
      </c>
      <c r="E139" s="4">
        <v>209</v>
      </c>
      <c r="F139" s="4">
        <f>ROUND(Source!W115,O139)</f>
        <v>0</v>
      </c>
      <c r="G139" s="4" t="s">
        <v>94</v>
      </c>
      <c r="H139" s="4" t="s">
        <v>95</v>
      </c>
      <c r="I139" s="4"/>
      <c r="J139" s="4"/>
      <c r="K139" s="4">
        <v>209</v>
      </c>
      <c r="L139" s="4">
        <v>23</v>
      </c>
      <c r="M139" s="4">
        <v>3</v>
      </c>
      <c r="N139" s="4" t="s">
        <v>3</v>
      </c>
      <c r="O139" s="4">
        <v>1</v>
      </c>
      <c r="P139" s="4"/>
      <c r="Q139" s="4"/>
      <c r="R139" s="4"/>
      <c r="S139" s="4"/>
      <c r="T139" s="4"/>
      <c r="U139" s="4"/>
      <c r="V139" s="4"/>
      <c r="W139" s="4"/>
    </row>
    <row r="140" spans="1:23" ht="12.75">
      <c r="A140" s="4">
        <v>50</v>
      </c>
      <c r="B140" s="4">
        <v>1</v>
      </c>
      <c r="C140" s="4">
        <v>0</v>
      </c>
      <c r="D140" s="4">
        <v>1</v>
      </c>
      <c r="E140" s="4">
        <v>210</v>
      </c>
      <c r="F140" s="4">
        <f>ROUND(Source!X115,O140)</f>
        <v>15779.7</v>
      </c>
      <c r="G140" s="4" t="s">
        <v>96</v>
      </c>
      <c r="H140" s="4" t="s">
        <v>97</v>
      </c>
      <c r="I140" s="4"/>
      <c r="J140" s="4"/>
      <c r="K140" s="4">
        <v>210</v>
      </c>
      <c r="L140" s="4">
        <v>24</v>
      </c>
      <c r="M140" s="4">
        <v>0</v>
      </c>
      <c r="N140" s="4" t="s">
        <v>3</v>
      </c>
      <c r="O140" s="4">
        <v>1</v>
      </c>
      <c r="P140" s="4"/>
      <c r="Q140" s="4"/>
      <c r="R140" s="4"/>
      <c r="S140" s="4"/>
      <c r="T140" s="4"/>
      <c r="U140" s="4"/>
      <c r="V140" s="4"/>
      <c r="W140" s="4"/>
    </row>
    <row r="141" spans="1:23" ht="12.75">
      <c r="A141" s="4">
        <v>50</v>
      </c>
      <c r="B141" s="4">
        <v>1</v>
      </c>
      <c r="C141" s="4">
        <v>0</v>
      </c>
      <c r="D141" s="4">
        <v>1</v>
      </c>
      <c r="E141" s="4">
        <v>211</v>
      </c>
      <c r="F141" s="4">
        <f>ROUND(Source!Y115,O141)</f>
        <v>10130.2</v>
      </c>
      <c r="G141" s="4" t="s">
        <v>98</v>
      </c>
      <c r="H141" s="4" t="s">
        <v>99</v>
      </c>
      <c r="I141" s="4"/>
      <c r="J141" s="4"/>
      <c r="K141" s="4">
        <v>211</v>
      </c>
      <c r="L141" s="4">
        <v>25</v>
      </c>
      <c r="M141" s="4">
        <v>0</v>
      </c>
      <c r="N141" s="4" t="s">
        <v>3</v>
      </c>
      <c r="O141" s="4">
        <v>1</v>
      </c>
      <c r="P141" s="4"/>
      <c r="Q141" s="4"/>
      <c r="R141" s="4"/>
      <c r="S141" s="4"/>
      <c r="T141" s="4"/>
      <c r="U141" s="4"/>
      <c r="V141" s="4"/>
      <c r="W141" s="4"/>
    </row>
    <row r="142" spans="1:23" ht="12.75">
      <c r="A142" s="4">
        <v>50</v>
      </c>
      <c r="B142" s="4">
        <v>1</v>
      </c>
      <c r="C142" s="4">
        <v>0</v>
      </c>
      <c r="D142" s="4">
        <v>1</v>
      </c>
      <c r="E142" s="4">
        <v>224</v>
      </c>
      <c r="F142" s="4">
        <f>ROUND(Source!AR115,O142)</f>
        <v>2504354.5</v>
      </c>
      <c r="G142" s="4" t="s">
        <v>100</v>
      </c>
      <c r="H142" s="4" t="s">
        <v>101</v>
      </c>
      <c r="I142" s="4"/>
      <c r="J142" s="4"/>
      <c r="K142" s="4">
        <v>224</v>
      </c>
      <c r="L142" s="4">
        <v>26</v>
      </c>
      <c r="M142" s="4">
        <v>0</v>
      </c>
      <c r="N142" s="4" t="s">
        <v>3</v>
      </c>
      <c r="O142" s="4">
        <v>1</v>
      </c>
      <c r="P142" s="4"/>
      <c r="Q142" s="4"/>
      <c r="R142" s="4"/>
      <c r="S142" s="4"/>
      <c r="T142" s="4"/>
      <c r="U142" s="4"/>
      <c r="V142" s="4"/>
      <c r="W142" s="4"/>
    </row>
    <row r="144" spans="1:88" ht="12.75">
      <c r="A144" s="1">
        <v>4</v>
      </c>
      <c r="B144" s="1">
        <v>1</v>
      </c>
      <c r="C144" s="1"/>
      <c r="D144" s="1">
        <f>ROW(A188)</f>
        <v>188</v>
      </c>
      <c r="E144" s="1"/>
      <c r="F144" s="1" t="s">
        <v>20</v>
      </c>
      <c r="G144" s="1" t="s">
        <v>172</v>
      </c>
      <c r="H144" s="1" t="s">
        <v>3</v>
      </c>
      <c r="I144" s="1">
        <v>0</v>
      </c>
      <c r="J144" s="1"/>
      <c r="K144" s="1">
        <v>0</v>
      </c>
      <c r="L144" s="1"/>
      <c r="M144" s="1"/>
      <c r="N144" s="1"/>
      <c r="O144" s="1"/>
      <c r="P144" s="1"/>
      <c r="Q144" s="1"/>
      <c r="R144" s="1"/>
      <c r="S144" s="1"/>
      <c r="T144" s="1"/>
      <c r="U144" s="1" t="s">
        <v>3</v>
      </c>
      <c r="V144" s="1">
        <v>0</v>
      </c>
      <c r="W144" s="1"/>
      <c r="X144" s="1"/>
      <c r="Y144" s="1"/>
      <c r="Z144" s="1"/>
      <c r="AA144" s="1"/>
      <c r="AB144" s="1" t="s">
        <v>3</v>
      </c>
      <c r="AC144" s="1" t="s">
        <v>3</v>
      </c>
      <c r="AD144" s="1" t="s">
        <v>3</v>
      </c>
      <c r="AE144" s="1" t="s">
        <v>3</v>
      </c>
      <c r="AF144" s="1" t="s">
        <v>3</v>
      </c>
      <c r="AG144" s="1" t="s">
        <v>3</v>
      </c>
      <c r="AH144" s="1"/>
      <c r="AI144" s="1"/>
      <c r="AJ144" s="1"/>
      <c r="AK144" s="1"/>
      <c r="AL144" s="1"/>
      <c r="AM144" s="1"/>
      <c r="AN144" s="1"/>
      <c r="AO144" s="1"/>
      <c r="AP144" s="1" t="s">
        <v>3</v>
      </c>
      <c r="AQ144" s="1" t="s">
        <v>3</v>
      </c>
      <c r="AR144" s="1" t="s">
        <v>3</v>
      </c>
      <c r="AS144" s="1"/>
      <c r="AT144" s="1"/>
      <c r="AU144" s="1"/>
      <c r="AV144" s="1"/>
      <c r="AW144" s="1"/>
      <c r="AX144" s="1"/>
      <c r="AY144" s="1"/>
      <c r="AZ144" s="1" t="s">
        <v>3</v>
      </c>
      <c r="BA144" s="1"/>
      <c r="BB144" s="1" t="s">
        <v>3</v>
      </c>
      <c r="BC144" s="1" t="s">
        <v>3</v>
      </c>
      <c r="BD144" s="1" t="s">
        <v>3</v>
      </c>
      <c r="BE144" s="1" t="s">
        <v>3</v>
      </c>
      <c r="BF144" s="1" t="s">
        <v>3</v>
      </c>
      <c r="BG144" s="1" t="s">
        <v>3</v>
      </c>
      <c r="BH144" s="1" t="s">
        <v>3</v>
      </c>
      <c r="BI144" s="1" t="s">
        <v>3</v>
      </c>
      <c r="BJ144" s="1" t="s">
        <v>3</v>
      </c>
      <c r="BK144" s="1" t="s">
        <v>3</v>
      </c>
      <c r="BL144" s="1" t="s">
        <v>3</v>
      </c>
      <c r="BM144" s="1" t="s">
        <v>3</v>
      </c>
      <c r="BN144" s="1" t="s">
        <v>3</v>
      </c>
      <c r="BO144" s="1" t="s">
        <v>3</v>
      </c>
      <c r="BP144" s="1" t="s">
        <v>3</v>
      </c>
      <c r="BQ144" s="1"/>
      <c r="BR144" s="1"/>
      <c r="BS144" s="1"/>
      <c r="BT144" s="1"/>
      <c r="BU144" s="1"/>
      <c r="BV144" s="1"/>
      <c r="BW144" s="1"/>
      <c r="BX144" s="1">
        <v>0</v>
      </c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>
        <v>0</v>
      </c>
    </row>
    <row r="146" spans="1:206" ht="12.75">
      <c r="A146" s="2">
        <v>52</v>
      </c>
      <c r="B146" s="2">
        <f aca="true" t="shared" si="83" ref="B146:G146">B188</f>
        <v>1</v>
      </c>
      <c r="C146" s="2">
        <f t="shared" si="83"/>
        <v>4</v>
      </c>
      <c r="D146" s="2">
        <f t="shared" si="83"/>
        <v>144</v>
      </c>
      <c r="E146" s="2">
        <f t="shared" si="83"/>
        <v>0</v>
      </c>
      <c r="F146" s="2" t="str">
        <f t="shared" si="83"/>
        <v>Новый раздел</v>
      </c>
      <c r="G146" s="2" t="str">
        <f t="shared" si="83"/>
        <v>Фундаменты под БКТП</v>
      </c>
      <c r="H146" s="2"/>
      <c r="I146" s="2"/>
      <c r="J146" s="2"/>
      <c r="K146" s="2"/>
      <c r="L146" s="2"/>
      <c r="M146" s="2"/>
      <c r="N146" s="2"/>
      <c r="O146" s="2">
        <f aca="true" t="shared" si="84" ref="O146:AT146">O188</f>
        <v>248238.5</v>
      </c>
      <c r="P146" s="2">
        <f t="shared" si="84"/>
        <v>177334.9</v>
      </c>
      <c r="Q146" s="2">
        <f t="shared" si="84"/>
        <v>20426.2</v>
      </c>
      <c r="R146" s="2">
        <f t="shared" si="84"/>
        <v>6730</v>
      </c>
      <c r="S146" s="2">
        <f t="shared" si="84"/>
        <v>50477.4</v>
      </c>
      <c r="T146" s="2">
        <f t="shared" si="84"/>
        <v>0</v>
      </c>
      <c r="U146" s="2">
        <f t="shared" si="84"/>
        <v>275.35627</v>
      </c>
      <c r="V146" s="2">
        <f t="shared" si="84"/>
        <v>26.606679999999997</v>
      </c>
      <c r="W146" s="2">
        <f t="shared" si="84"/>
        <v>0</v>
      </c>
      <c r="X146" s="2">
        <f t="shared" si="84"/>
        <v>60549.3</v>
      </c>
      <c r="Y146" s="2">
        <f t="shared" si="84"/>
        <v>35238.1</v>
      </c>
      <c r="Z146" s="2">
        <f t="shared" si="84"/>
        <v>0</v>
      </c>
      <c r="AA146" s="2">
        <f t="shared" si="84"/>
        <v>0</v>
      </c>
      <c r="AB146" s="2">
        <f t="shared" si="84"/>
        <v>248238.5</v>
      </c>
      <c r="AC146" s="2">
        <f t="shared" si="84"/>
        <v>177334.9</v>
      </c>
      <c r="AD146" s="2">
        <f t="shared" si="84"/>
        <v>20426.2</v>
      </c>
      <c r="AE146" s="2">
        <f t="shared" si="84"/>
        <v>6730</v>
      </c>
      <c r="AF146" s="2">
        <f t="shared" si="84"/>
        <v>50477.4</v>
      </c>
      <c r="AG146" s="2">
        <f t="shared" si="84"/>
        <v>0</v>
      </c>
      <c r="AH146" s="2">
        <f t="shared" si="84"/>
        <v>275.35627</v>
      </c>
      <c r="AI146" s="2">
        <f t="shared" si="84"/>
        <v>26.606679999999997</v>
      </c>
      <c r="AJ146" s="2">
        <f t="shared" si="84"/>
        <v>0</v>
      </c>
      <c r="AK146" s="2">
        <f t="shared" si="84"/>
        <v>60549.3</v>
      </c>
      <c r="AL146" s="2">
        <f t="shared" si="84"/>
        <v>35238.1</v>
      </c>
      <c r="AM146" s="2">
        <f t="shared" si="84"/>
        <v>0</v>
      </c>
      <c r="AN146" s="2">
        <f t="shared" si="84"/>
        <v>0</v>
      </c>
      <c r="AO146" s="2">
        <f t="shared" si="84"/>
        <v>0</v>
      </c>
      <c r="AP146" s="2">
        <f t="shared" si="84"/>
        <v>0</v>
      </c>
      <c r="AQ146" s="2">
        <f t="shared" si="84"/>
        <v>0</v>
      </c>
      <c r="AR146" s="2">
        <f t="shared" si="84"/>
        <v>344025.9</v>
      </c>
      <c r="AS146" s="2">
        <f t="shared" si="84"/>
        <v>326512</v>
      </c>
      <c r="AT146" s="2">
        <f t="shared" si="84"/>
        <v>17513.9</v>
      </c>
      <c r="AU146" s="2">
        <f aca="true" t="shared" si="85" ref="AU146:BZ146">AU188</f>
        <v>0</v>
      </c>
      <c r="AV146" s="2">
        <f t="shared" si="85"/>
        <v>177334.9</v>
      </c>
      <c r="AW146" s="2">
        <f t="shared" si="85"/>
        <v>177334.9</v>
      </c>
      <c r="AX146" s="2">
        <f t="shared" si="85"/>
        <v>0</v>
      </c>
      <c r="AY146" s="2">
        <f t="shared" si="85"/>
        <v>177334.9</v>
      </c>
      <c r="AZ146" s="2">
        <f t="shared" si="85"/>
        <v>0</v>
      </c>
      <c r="BA146" s="2">
        <f t="shared" si="85"/>
        <v>0</v>
      </c>
      <c r="BB146" s="2">
        <f t="shared" si="85"/>
        <v>0</v>
      </c>
      <c r="BC146" s="2">
        <f t="shared" si="85"/>
        <v>0</v>
      </c>
      <c r="BD146" s="2">
        <f t="shared" si="85"/>
        <v>0</v>
      </c>
      <c r="BE146" s="2">
        <f t="shared" si="85"/>
        <v>0</v>
      </c>
      <c r="BF146" s="2">
        <f t="shared" si="85"/>
        <v>0</v>
      </c>
      <c r="BG146" s="2">
        <f t="shared" si="85"/>
        <v>0</v>
      </c>
      <c r="BH146" s="2">
        <f t="shared" si="85"/>
        <v>0</v>
      </c>
      <c r="BI146" s="2">
        <f t="shared" si="85"/>
        <v>0</v>
      </c>
      <c r="BJ146" s="2">
        <f t="shared" si="85"/>
        <v>0</v>
      </c>
      <c r="BK146" s="2">
        <f t="shared" si="85"/>
        <v>0</v>
      </c>
      <c r="BL146" s="2">
        <f t="shared" si="85"/>
        <v>0</v>
      </c>
      <c r="BM146" s="2">
        <f t="shared" si="85"/>
        <v>0</v>
      </c>
      <c r="BN146" s="2">
        <f t="shared" si="85"/>
        <v>0</v>
      </c>
      <c r="BO146" s="2">
        <f t="shared" si="85"/>
        <v>0</v>
      </c>
      <c r="BP146" s="2">
        <f t="shared" si="85"/>
        <v>0</v>
      </c>
      <c r="BQ146" s="2">
        <f t="shared" si="85"/>
        <v>0</v>
      </c>
      <c r="BR146" s="2">
        <f t="shared" si="85"/>
        <v>0</v>
      </c>
      <c r="BS146" s="2">
        <f t="shared" si="85"/>
        <v>0</v>
      </c>
      <c r="BT146" s="2">
        <f t="shared" si="85"/>
        <v>0</v>
      </c>
      <c r="BU146" s="2">
        <f t="shared" si="85"/>
        <v>0</v>
      </c>
      <c r="BV146" s="2">
        <f t="shared" si="85"/>
        <v>0</v>
      </c>
      <c r="BW146" s="2">
        <f t="shared" si="85"/>
        <v>0</v>
      </c>
      <c r="BX146" s="2">
        <f t="shared" si="85"/>
        <v>0</v>
      </c>
      <c r="BY146" s="2">
        <f t="shared" si="85"/>
        <v>0</v>
      </c>
      <c r="BZ146" s="2">
        <f t="shared" si="85"/>
        <v>0</v>
      </c>
      <c r="CA146" s="2">
        <f aca="true" t="shared" si="86" ref="CA146:DF146">CA188</f>
        <v>344025.9</v>
      </c>
      <c r="CB146" s="2">
        <f t="shared" si="86"/>
        <v>326512</v>
      </c>
      <c r="CC146" s="2">
        <f t="shared" si="86"/>
        <v>17513.9</v>
      </c>
      <c r="CD146" s="2">
        <f t="shared" si="86"/>
        <v>0</v>
      </c>
      <c r="CE146" s="2">
        <f t="shared" si="86"/>
        <v>177334.9</v>
      </c>
      <c r="CF146" s="2">
        <f t="shared" si="86"/>
        <v>177334.9</v>
      </c>
      <c r="CG146" s="2">
        <f t="shared" si="86"/>
        <v>0</v>
      </c>
      <c r="CH146" s="2">
        <f t="shared" si="86"/>
        <v>177334.9</v>
      </c>
      <c r="CI146" s="2">
        <f t="shared" si="86"/>
        <v>0</v>
      </c>
      <c r="CJ146" s="2">
        <f t="shared" si="86"/>
        <v>0</v>
      </c>
      <c r="CK146" s="2">
        <f t="shared" si="86"/>
        <v>0</v>
      </c>
      <c r="CL146" s="2">
        <f t="shared" si="86"/>
        <v>0</v>
      </c>
      <c r="CM146" s="2">
        <f t="shared" si="86"/>
        <v>0</v>
      </c>
      <c r="CN146" s="2">
        <f t="shared" si="86"/>
        <v>0</v>
      </c>
      <c r="CO146" s="2">
        <f t="shared" si="86"/>
        <v>0</v>
      </c>
      <c r="CP146" s="2">
        <f t="shared" si="86"/>
        <v>0</v>
      </c>
      <c r="CQ146" s="2">
        <f t="shared" si="86"/>
        <v>0</v>
      </c>
      <c r="CR146" s="2">
        <f t="shared" si="86"/>
        <v>0</v>
      </c>
      <c r="CS146" s="2">
        <f t="shared" si="86"/>
        <v>0</v>
      </c>
      <c r="CT146" s="2">
        <f t="shared" si="86"/>
        <v>0</v>
      </c>
      <c r="CU146" s="2">
        <f t="shared" si="86"/>
        <v>0</v>
      </c>
      <c r="CV146" s="2">
        <f t="shared" si="86"/>
        <v>0</v>
      </c>
      <c r="CW146" s="2">
        <f t="shared" si="86"/>
        <v>0</v>
      </c>
      <c r="CX146" s="2">
        <f t="shared" si="86"/>
        <v>0</v>
      </c>
      <c r="CY146" s="2">
        <f t="shared" si="86"/>
        <v>0</v>
      </c>
      <c r="CZ146" s="2">
        <f t="shared" si="86"/>
        <v>0</v>
      </c>
      <c r="DA146" s="2">
        <f t="shared" si="86"/>
        <v>0</v>
      </c>
      <c r="DB146" s="2">
        <f t="shared" si="86"/>
        <v>0</v>
      </c>
      <c r="DC146" s="2">
        <f t="shared" si="86"/>
        <v>0</v>
      </c>
      <c r="DD146" s="2">
        <f t="shared" si="86"/>
        <v>0</v>
      </c>
      <c r="DE146" s="2">
        <f t="shared" si="86"/>
        <v>0</v>
      </c>
      <c r="DF146" s="2">
        <f t="shared" si="86"/>
        <v>0</v>
      </c>
      <c r="DG146" s="3">
        <f aca="true" t="shared" si="87" ref="DG146:EL146">DG188</f>
        <v>0</v>
      </c>
      <c r="DH146" s="3">
        <f t="shared" si="87"/>
        <v>0</v>
      </c>
      <c r="DI146" s="3">
        <f t="shared" si="87"/>
        <v>0</v>
      </c>
      <c r="DJ146" s="3">
        <f t="shared" si="87"/>
        <v>0</v>
      </c>
      <c r="DK146" s="3">
        <f t="shared" si="87"/>
        <v>0</v>
      </c>
      <c r="DL146" s="3">
        <f t="shared" si="87"/>
        <v>0</v>
      </c>
      <c r="DM146" s="3">
        <f t="shared" si="87"/>
        <v>0</v>
      </c>
      <c r="DN146" s="3">
        <f t="shared" si="87"/>
        <v>0</v>
      </c>
      <c r="DO146" s="3">
        <f t="shared" si="87"/>
        <v>0</v>
      </c>
      <c r="DP146" s="3">
        <f t="shared" si="87"/>
        <v>0</v>
      </c>
      <c r="DQ146" s="3">
        <f t="shared" si="87"/>
        <v>0</v>
      </c>
      <c r="DR146" s="3">
        <f t="shared" si="87"/>
        <v>0</v>
      </c>
      <c r="DS146" s="3">
        <f t="shared" si="87"/>
        <v>0</v>
      </c>
      <c r="DT146" s="3">
        <f t="shared" si="87"/>
        <v>0</v>
      </c>
      <c r="DU146" s="3">
        <f t="shared" si="87"/>
        <v>0</v>
      </c>
      <c r="DV146" s="3">
        <f t="shared" si="87"/>
        <v>0</v>
      </c>
      <c r="DW146" s="3">
        <f t="shared" si="87"/>
        <v>0</v>
      </c>
      <c r="DX146" s="3">
        <f t="shared" si="87"/>
        <v>0</v>
      </c>
      <c r="DY146" s="3">
        <f t="shared" si="87"/>
        <v>0</v>
      </c>
      <c r="DZ146" s="3">
        <f t="shared" si="87"/>
        <v>0</v>
      </c>
      <c r="EA146" s="3">
        <f t="shared" si="87"/>
        <v>0</v>
      </c>
      <c r="EB146" s="3">
        <f t="shared" si="87"/>
        <v>0</v>
      </c>
      <c r="EC146" s="3">
        <f t="shared" si="87"/>
        <v>0</v>
      </c>
      <c r="ED146" s="3">
        <f t="shared" si="87"/>
        <v>0</v>
      </c>
      <c r="EE146" s="3">
        <f t="shared" si="87"/>
        <v>0</v>
      </c>
      <c r="EF146" s="3">
        <f t="shared" si="87"/>
        <v>0</v>
      </c>
      <c r="EG146" s="3">
        <f t="shared" si="87"/>
        <v>0</v>
      </c>
      <c r="EH146" s="3">
        <f t="shared" si="87"/>
        <v>0</v>
      </c>
      <c r="EI146" s="3">
        <f t="shared" si="87"/>
        <v>0</v>
      </c>
      <c r="EJ146" s="3">
        <f t="shared" si="87"/>
        <v>0</v>
      </c>
      <c r="EK146" s="3">
        <f t="shared" si="87"/>
        <v>0</v>
      </c>
      <c r="EL146" s="3">
        <f t="shared" si="87"/>
        <v>0</v>
      </c>
      <c r="EM146" s="3">
        <f aca="true" t="shared" si="88" ref="EM146:FR146">EM188</f>
        <v>0</v>
      </c>
      <c r="EN146" s="3">
        <f t="shared" si="88"/>
        <v>0</v>
      </c>
      <c r="EO146" s="3">
        <f t="shared" si="88"/>
        <v>0</v>
      </c>
      <c r="EP146" s="3">
        <f t="shared" si="88"/>
        <v>0</v>
      </c>
      <c r="EQ146" s="3">
        <f t="shared" si="88"/>
        <v>0</v>
      </c>
      <c r="ER146" s="3">
        <f t="shared" si="88"/>
        <v>0</v>
      </c>
      <c r="ES146" s="3">
        <f t="shared" si="88"/>
        <v>0</v>
      </c>
      <c r="ET146" s="3">
        <f t="shared" si="88"/>
        <v>0</v>
      </c>
      <c r="EU146" s="3">
        <f t="shared" si="88"/>
        <v>0</v>
      </c>
      <c r="EV146" s="3">
        <f t="shared" si="88"/>
        <v>0</v>
      </c>
      <c r="EW146" s="3">
        <f t="shared" si="88"/>
        <v>0</v>
      </c>
      <c r="EX146" s="3">
        <f t="shared" si="88"/>
        <v>0</v>
      </c>
      <c r="EY146" s="3">
        <f t="shared" si="88"/>
        <v>0</v>
      </c>
      <c r="EZ146" s="3">
        <f t="shared" si="88"/>
        <v>0</v>
      </c>
      <c r="FA146" s="3">
        <f t="shared" si="88"/>
        <v>0</v>
      </c>
      <c r="FB146" s="3">
        <f t="shared" si="88"/>
        <v>0</v>
      </c>
      <c r="FC146" s="3">
        <f t="shared" si="88"/>
        <v>0</v>
      </c>
      <c r="FD146" s="3">
        <f t="shared" si="88"/>
        <v>0</v>
      </c>
      <c r="FE146" s="3">
        <f t="shared" si="88"/>
        <v>0</v>
      </c>
      <c r="FF146" s="3">
        <f t="shared" si="88"/>
        <v>0</v>
      </c>
      <c r="FG146" s="3">
        <f t="shared" si="88"/>
        <v>0</v>
      </c>
      <c r="FH146" s="3">
        <f t="shared" si="88"/>
        <v>0</v>
      </c>
      <c r="FI146" s="3">
        <f t="shared" si="88"/>
        <v>0</v>
      </c>
      <c r="FJ146" s="3">
        <f t="shared" si="88"/>
        <v>0</v>
      </c>
      <c r="FK146" s="3">
        <f t="shared" si="88"/>
        <v>0</v>
      </c>
      <c r="FL146" s="3">
        <f t="shared" si="88"/>
        <v>0</v>
      </c>
      <c r="FM146" s="3">
        <f t="shared" si="88"/>
        <v>0</v>
      </c>
      <c r="FN146" s="3">
        <f t="shared" si="88"/>
        <v>0</v>
      </c>
      <c r="FO146" s="3">
        <f t="shared" si="88"/>
        <v>0</v>
      </c>
      <c r="FP146" s="3">
        <f t="shared" si="88"/>
        <v>0</v>
      </c>
      <c r="FQ146" s="3">
        <f t="shared" si="88"/>
        <v>0</v>
      </c>
      <c r="FR146" s="3">
        <f t="shared" si="88"/>
        <v>0</v>
      </c>
      <c r="FS146" s="3">
        <f aca="true" t="shared" si="89" ref="FS146:GX146">FS188</f>
        <v>0</v>
      </c>
      <c r="FT146" s="3">
        <f t="shared" si="89"/>
        <v>0</v>
      </c>
      <c r="FU146" s="3">
        <f t="shared" si="89"/>
        <v>0</v>
      </c>
      <c r="FV146" s="3">
        <f t="shared" si="89"/>
        <v>0</v>
      </c>
      <c r="FW146" s="3">
        <f t="shared" si="89"/>
        <v>0</v>
      </c>
      <c r="FX146" s="3">
        <f t="shared" si="89"/>
        <v>0</v>
      </c>
      <c r="FY146" s="3">
        <f t="shared" si="89"/>
        <v>0</v>
      </c>
      <c r="FZ146" s="3">
        <f t="shared" si="89"/>
        <v>0</v>
      </c>
      <c r="GA146" s="3">
        <f t="shared" si="89"/>
        <v>0</v>
      </c>
      <c r="GB146" s="3">
        <f t="shared" si="89"/>
        <v>0</v>
      </c>
      <c r="GC146" s="3">
        <f t="shared" si="89"/>
        <v>0</v>
      </c>
      <c r="GD146" s="3">
        <f t="shared" si="89"/>
        <v>0</v>
      </c>
      <c r="GE146" s="3">
        <f t="shared" si="89"/>
        <v>0</v>
      </c>
      <c r="GF146" s="3">
        <f t="shared" si="89"/>
        <v>0</v>
      </c>
      <c r="GG146" s="3">
        <f t="shared" si="89"/>
        <v>0</v>
      </c>
      <c r="GH146" s="3">
        <f t="shared" si="89"/>
        <v>0</v>
      </c>
      <c r="GI146" s="3">
        <f t="shared" si="89"/>
        <v>0</v>
      </c>
      <c r="GJ146" s="3">
        <f t="shared" si="89"/>
        <v>0</v>
      </c>
      <c r="GK146" s="3">
        <f t="shared" si="89"/>
        <v>0</v>
      </c>
      <c r="GL146" s="3">
        <f t="shared" si="89"/>
        <v>0</v>
      </c>
      <c r="GM146" s="3">
        <f t="shared" si="89"/>
        <v>0</v>
      </c>
      <c r="GN146" s="3">
        <f t="shared" si="89"/>
        <v>0</v>
      </c>
      <c r="GO146" s="3">
        <f t="shared" si="89"/>
        <v>0</v>
      </c>
      <c r="GP146" s="3">
        <f t="shared" si="89"/>
        <v>0</v>
      </c>
      <c r="GQ146" s="3">
        <f t="shared" si="89"/>
        <v>0</v>
      </c>
      <c r="GR146" s="3">
        <f t="shared" si="89"/>
        <v>0</v>
      </c>
      <c r="GS146" s="3">
        <f t="shared" si="89"/>
        <v>0</v>
      </c>
      <c r="GT146" s="3">
        <f t="shared" si="89"/>
        <v>0</v>
      </c>
      <c r="GU146" s="3">
        <f t="shared" si="89"/>
        <v>0</v>
      </c>
      <c r="GV146" s="3">
        <f t="shared" si="89"/>
        <v>0</v>
      </c>
      <c r="GW146" s="3">
        <f t="shared" si="89"/>
        <v>0</v>
      </c>
      <c r="GX146" s="3">
        <f t="shared" si="89"/>
        <v>0</v>
      </c>
    </row>
    <row r="148" spans="1:245" ht="12.75">
      <c r="A148">
        <v>17</v>
      </c>
      <c r="B148">
        <v>1</v>
      </c>
      <c r="C148">
        <f>ROW(SmtRes!A41)</f>
        <v>41</v>
      </c>
      <c r="D148">
        <f>ROW(EtalonRes!A39)</f>
        <v>39</v>
      </c>
      <c r="E148" t="s">
        <v>173</v>
      </c>
      <c r="F148" t="s">
        <v>174</v>
      </c>
      <c r="G148" t="s">
        <v>175</v>
      </c>
      <c r="H148" t="s">
        <v>114</v>
      </c>
      <c r="I148">
        <f>ROUND(0.2,3)</f>
        <v>0.2</v>
      </c>
      <c r="J148">
        <v>0</v>
      </c>
      <c r="O148">
        <f aca="true" t="shared" si="90" ref="O148:O171">ROUND(CP148,1)</f>
        <v>4795.2</v>
      </c>
      <c r="P148">
        <f aca="true" t="shared" si="91" ref="P148:P171">ROUND(CQ148*I148,1)</f>
        <v>0</v>
      </c>
      <c r="Q148">
        <f aca="true" t="shared" si="92" ref="Q148:Q171">ROUND(CR148*I148,1)</f>
        <v>0</v>
      </c>
      <c r="R148">
        <f aca="true" t="shared" si="93" ref="R148:R171">ROUND(CS148*I148,1)</f>
        <v>0</v>
      </c>
      <c r="S148">
        <f aca="true" t="shared" si="94" ref="S148:S171">ROUND(CT148*I148,1)</f>
        <v>4795.2</v>
      </c>
      <c r="T148">
        <f aca="true" t="shared" si="95" ref="T148:T171">ROUND(CU148*I148,1)</f>
        <v>0</v>
      </c>
      <c r="U148">
        <f aca="true" t="shared" si="96" ref="U148:U171">CV148*I148</f>
        <v>30.8</v>
      </c>
      <c r="V148">
        <f aca="true" t="shared" si="97" ref="V148:V171">CW148*I148</f>
        <v>0</v>
      </c>
      <c r="W148">
        <f aca="true" t="shared" si="98" ref="W148:W171">ROUND(CX148*I148,1)</f>
        <v>0</v>
      </c>
      <c r="X148">
        <f aca="true" t="shared" si="99" ref="X148:X171">ROUND(CY148,1)</f>
        <v>3260.7</v>
      </c>
      <c r="Y148">
        <f aca="true" t="shared" si="100" ref="Y148:Y171">ROUND(CZ148,1)</f>
        <v>1726.3</v>
      </c>
      <c r="AA148">
        <v>42253831</v>
      </c>
      <c r="AB148">
        <f aca="true" t="shared" si="101" ref="AB148:AB171">ROUND((AC148+AD148+AF148),6)</f>
        <v>1201.2</v>
      </c>
      <c r="AC148">
        <f aca="true" t="shared" si="102" ref="AC148:AC155">ROUND((ES148),6)</f>
        <v>0</v>
      </c>
      <c r="AD148">
        <f aca="true" t="shared" si="103" ref="AD148:AD171">ROUND((((ET148)-(EU148))+AE148),6)</f>
        <v>0</v>
      </c>
      <c r="AE148">
        <f aca="true" t="shared" si="104" ref="AE148:AE171">ROUND((EU148),6)</f>
        <v>0</v>
      </c>
      <c r="AF148">
        <f aca="true" t="shared" si="105" ref="AF148:AF171">ROUND((EV148),6)</f>
        <v>1201.2</v>
      </c>
      <c r="AG148">
        <f aca="true" t="shared" si="106" ref="AG148:AG171">ROUND((AP148),6)</f>
        <v>0</v>
      </c>
      <c r="AH148">
        <f aca="true" t="shared" si="107" ref="AH148:AH171">(EW148)</f>
        <v>154</v>
      </c>
      <c r="AI148">
        <f aca="true" t="shared" si="108" ref="AI148:AI171">(EX148)</f>
        <v>0</v>
      </c>
      <c r="AJ148">
        <f aca="true" t="shared" si="109" ref="AJ148:AJ171">ROUND((AS148),6)</f>
        <v>0</v>
      </c>
      <c r="AK148">
        <v>1201.2</v>
      </c>
      <c r="AL148">
        <v>0</v>
      </c>
      <c r="AM148">
        <v>0</v>
      </c>
      <c r="AN148">
        <v>0</v>
      </c>
      <c r="AO148">
        <v>1201.2</v>
      </c>
      <c r="AP148">
        <v>0</v>
      </c>
      <c r="AQ148">
        <v>154</v>
      </c>
      <c r="AR148">
        <v>0</v>
      </c>
      <c r="AS148">
        <v>0</v>
      </c>
      <c r="AT148">
        <v>68</v>
      </c>
      <c r="AU148">
        <v>36</v>
      </c>
      <c r="AV148">
        <v>1</v>
      </c>
      <c r="AW148">
        <v>1</v>
      </c>
      <c r="AZ148">
        <v>1</v>
      </c>
      <c r="BA148">
        <v>19.96</v>
      </c>
      <c r="BB148">
        <v>7.11</v>
      </c>
      <c r="BC148">
        <v>5.66</v>
      </c>
      <c r="BH148">
        <v>0</v>
      </c>
      <c r="BI148">
        <v>1</v>
      </c>
      <c r="BJ148" t="s">
        <v>176</v>
      </c>
      <c r="BM148">
        <v>1003</v>
      </c>
      <c r="BN148">
        <v>0</v>
      </c>
      <c r="BO148" t="s">
        <v>27</v>
      </c>
      <c r="BP148">
        <v>1</v>
      </c>
      <c r="BQ148">
        <v>2</v>
      </c>
      <c r="BR148">
        <v>0</v>
      </c>
      <c r="BS148">
        <v>19.96</v>
      </c>
      <c r="BT148">
        <v>1</v>
      </c>
      <c r="BU148">
        <v>1</v>
      </c>
      <c r="BV148">
        <v>1</v>
      </c>
      <c r="BW148">
        <v>1</v>
      </c>
      <c r="BX148">
        <v>1</v>
      </c>
      <c r="BZ148">
        <v>80</v>
      </c>
      <c r="CA148">
        <v>45</v>
      </c>
      <c r="CF148">
        <v>0</v>
      </c>
      <c r="CG148">
        <v>0</v>
      </c>
      <c r="CM148">
        <v>0</v>
      </c>
      <c r="CO148">
        <v>0</v>
      </c>
      <c r="CP148">
        <f aca="true" t="shared" si="110" ref="CP148:CP171">(P148+Q148+S148)</f>
        <v>4795.2</v>
      </c>
      <c r="CQ148">
        <f aca="true" t="shared" si="111" ref="CQ148:CQ171">AC148*BC148</f>
        <v>0</v>
      </c>
      <c r="CR148">
        <f aca="true" t="shared" si="112" ref="CR148:CR171">AD148*BB148</f>
        <v>0</v>
      </c>
      <c r="CS148">
        <f aca="true" t="shared" si="113" ref="CS148:CS171">AE148*BS148</f>
        <v>0</v>
      </c>
      <c r="CT148">
        <f aca="true" t="shared" si="114" ref="CT148:CT171">AF148*BA148</f>
        <v>23975.952</v>
      </c>
      <c r="CU148">
        <f aca="true" t="shared" si="115" ref="CU148:CU171">AG148</f>
        <v>0</v>
      </c>
      <c r="CV148">
        <f aca="true" t="shared" si="116" ref="CV148:CV171">AH148</f>
        <v>154</v>
      </c>
      <c r="CW148">
        <f aca="true" t="shared" si="117" ref="CW148:CW171">AI148</f>
        <v>0</v>
      </c>
      <c r="CX148">
        <f aca="true" t="shared" si="118" ref="CX148:CX171">AJ148</f>
        <v>0</v>
      </c>
      <c r="CY148">
        <f aca="true" t="shared" si="119" ref="CY148:CY171">(((S148+R148)*AT148)/100)</f>
        <v>3260.736</v>
      </c>
      <c r="CZ148">
        <f aca="true" t="shared" si="120" ref="CZ148:CZ171">(((S148+R148)*AU148)/100)</f>
        <v>1726.272</v>
      </c>
      <c r="DN148">
        <v>0</v>
      </c>
      <c r="DO148">
        <v>0</v>
      </c>
      <c r="DP148">
        <v>1</v>
      </c>
      <c r="DQ148">
        <v>1</v>
      </c>
      <c r="DU148">
        <v>1007</v>
      </c>
      <c r="DV148" t="s">
        <v>114</v>
      </c>
      <c r="DW148" t="s">
        <v>114</v>
      </c>
      <c r="DX148">
        <v>100</v>
      </c>
      <c r="EE148">
        <v>39125349</v>
      </c>
      <c r="EF148">
        <v>2</v>
      </c>
      <c r="EG148" t="s">
        <v>28</v>
      </c>
      <c r="EH148">
        <v>0</v>
      </c>
      <c r="EJ148">
        <v>1</v>
      </c>
      <c r="EK148">
        <v>1003</v>
      </c>
      <c r="EL148" t="s">
        <v>118</v>
      </c>
      <c r="EM148" t="s">
        <v>30</v>
      </c>
      <c r="EQ148">
        <v>0</v>
      </c>
      <c r="ER148">
        <v>1201.2</v>
      </c>
      <c r="ES148">
        <v>0</v>
      </c>
      <c r="ET148">
        <v>0</v>
      </c>
      <c r="EU148">
        <v>0</v>
      </c>
      <c r="EV148">
        <v>1201.2</v>
      </c>
      <c r="EW148">
        <v>154</v>
      </c>
      <c r="EX148">
        <v>0</v>
      </c>
      <c r="EY148">
        <v>0</v>
      </c>
      <c r="FQ148">
        <v>0</v>
      </c>
      <c r="FR148">
        <f aca="true" t="shared" si="121" ref="FR148:FR171">ROUND(IF(AND(BH148=3,BI148=3),P148,0),1)</f>
        <v>0</v>
      </c>
      <c r="FS148">
        <v>0</v>
      </c>
      <c r="FV148" t="s">
        <v>31</v>
      </c>
      <c r="FW148" t="s">
        <v>32</v>
      </c>
      <c r="FX148">
        <v>80</v>
      </c>
      <c r="FY148">
        <v>45</v>
      </c>
      <c r="GD148">
        <v>0</v>
      </c>
      <c r="GF148">
        <v>-1694042267</v>
      </c>
      <c r="GG148">
        <v>2</v>
      </c>
      <c r="GH148">
        <v>1</v>
      </c>
      <c r="GI148">
        <v>4</v>
      </c>
      <c r="GJ148">
        <v>0</v>
      </c>
      <c r="GK148">
        <f>ROUND(R148*(R12)/100,1)</f>
        <v>0</v>
      </c>
      <c r="GL148">
        <f aca="true" t="shared" si="122" ref="GL148:GL171">ROUND(IF(AND(BH148=3,BI148=3,FS148&lt;&gt;0),P148,0),1)</f>
        <v>0</v>
      </c>
      <c r="GM148">
        <f aca="true" t="shared" si="123" ref="GM148:GM171">ROUND(O148+X148+Y148+GK148,1)+GX148</f>
        <v>9782.2</v>
      </c>
      <c r="GN148">
        <f aca="true" t="shared" si="124" ref="GN148:GN171">IF(OR(BI148=0,BI148=1),GM148,0)</f>
        <v>9782.2</v>
      </c>
      <c r="GO148">
        <f aca="true" t="shared" si="125" ref="GO148:GO171">IF(BI148=2,GM148,0)</f>
        <v>0</v>
      </c>
      <c r="GP148">
        <f aca="true" t="shared" si="126" ref="GP148:GP171">IF(BI148=4,GM148,0)</f>
        <v>0</v>
      </c>
      <c r="GR148">
        <v>0</v>
      </c>
      <c r="GS148">
        <v>3</v>
      </c>
      <c r="GT148">
        <v>0</v>
      </c>
      <c r="GV148">
        <f aca="true" t="shared" si="127" ref="GV148:GV171">ROUND(GT148,6)</f>
        <v>0</v>
      </c>
      <c r="GW148">
        <v>19.96</v>
      </c>
      <c r="GX148">
        <f aca="true" t="shared" si="128" ref="GX148:GX171">ROUND(GV148*GW148*I148,1)</f>
        <v>0</v>
      </c>
      <c r="HA148">
        <v>0</v>
      </c>
      <c r="HB148">
        <v>0</v>
      </c>
      <c r="IK148">
        <v>0</v>
      </c>
    </row>
    <row r="149" spans="1:245" ht="12.75">
      <c r="A149">
        <v>17</v>
      </c>
      <c r="B149">
        <v>1</v>
      </c>
      <c r="C149">
        <f>ROW(SmtRes!A45)</f>
        <v>45</v>
      </c>
      <c r="D149">
        <f>ROW(EtalonRes!A43)</f>
        <v>43</v>
      </c>
      <c r="E149" t="s">
        <v>177</v>
      </c>
      <c r="F149" t="s">
        <v>146</v>
      </c>
      <c r="G149" t="s">
        <v>147</v>
      </c>
      <c r="H149" t="s">
        <v>114</v>
      </c>
      <c r="I149">
        <f>ROUND(0.1,3)</f>
        <v>0.1</v>
      </c>
      <c r="J149">
        <v>0</v>
      </c>
      <c r="O149">
        <f t="shared" si="90"/>
        <v>412.6</v>
      </c>
      <c r="P149">
        <f t="shared" si="91"/>
        <v>0</v>
      </c>
      <c r="Q149">
        <f t="shared" si="92"/>
        <v>199.3</v>
      </c>
      <c r="R149">
        <f t="shared" si="93"/>
        <v>61</v>
      </c>
      <c r="S149">
        <f t="shared" si="94"/>
        <v>213.3</v>
      </c>
      <c r="T149">
        <f t="shared" si="95"/>
        <v>0</v>
      </c>
      <c r="U149">
        <f t="shared" si="96"/>
        <v>1.2530000000000001</v>
      </c>
      <c r="V149">
        <f t="shared" si="97"/>
        <v>0.30400000000000005</v>
      </c>
      <c r="W149">
        <f t="shared" si="98"/>
        <v>0</v>
      </c>
      <c r="X149">
        <f t="shared" si="99"/>
        <v>222.2</v>
      </c>
      <c r="Y149">
        <f t="shared" si="100"/>
        <v>109.7</v>
      </c>
      <c r="AA149">
        <v>42253831</v>
      </c>
      <c r="AB149">
        <f t="shared" si="101"/>
        <v>387.18</v>
      </c>
      <c r="AC149">
        <f t="shared" si="102"/>
        <v>0</v>
      </c>
      <c r="AD149">
        <f t="shared" si="103"/>
        <v>280.3</v>
      </c>
      <c r="AE149">
        <f t="shared" si="104"/>
        <v>30.58</v>
      </c>
      <c r="AF149">
        <f t="shared" si="105"/>
        <v>106.88</v>
      </c>
      <c r="AG149">
        <f t="shared" si="106"/>
        <v>0</v>
      </c>
      <c r="AH149">
        <f t="shared" si="107"/>
        <v>12.53</v>
      </c>
      <c r="AI149">
        <f t="shared" si="108"/>
        <v>3.04</v>
      </c>
      <c r="AJ149">
        <f t="shared" si="109"/>
        <v>0</v>
      </c>
      <c r="AK149">
        <v>387.18</v>
      </c>
      <c r="AL149">
        <v>0</v>
      </c>
      <c r="AM149">
        <v>280.3</v>
      </c>
      <c r="AN149">
        <v>30.58</v>
      </c>
      <c r="AO149">
        <v>106.88</v>
      </c>
      <c r="AP149">
        <v>0</v>
      </c>
      <c r="AQ149">
        <v>12.53</v>
      </c>
      <c r="AR149">
        <v>3.04</v>
      </c>
      <c r="AS149">
        <v>0</v>
      </c>
      <c r="AT149">
        <v>81</v>
      </c>
      <c r="AU149">
        <v>40</v>
      </c>
      <c r="AV149">
        <v>1</v>
      </c>
      <c r="AW149">
        <v>1</v>
      </c>
      <c r="AZ149">
        <v>1</v>
      </c>
      <c r="BA149">
        <v>19.96</v>
      </c>
      <c r="BB149">
        <v>7.11</v>
      </c>
      <c r="BC149">
        <v>5.66</v>
      </c>
      <c r="BH149">
        <v>0</v>
      </c>
      <c r="BI149">
        <v>1</v>
      </c>
      <c r="BJ149" t="s">
        <v>148</v>
      </c>
      <c r="BM149">
        <v>1002</v>
      </c>
      <c r="BN149">
        <v>0</v>
      </c>
      <c r="BO149" t="s">
        <v>27</v>
      </c>
      <c r="BP149">
        <v>1</v>
      </c>
      <c r="BQ149">
        <v>2</v>
      </c>
      <c r="BR149">
        <v>0</v>
      </c>
      <c r="BS149">
        <v>19.96</v>
      </c>
      <c r="BT149">
        <v>1</v>
      </c>
      <c r="BU149">
        <v>1</v>
      </c>
      <c r="BV149">
        <v>1</v>
      </c>
      <c r="BW149">
        <v>1</v>
      </c>
      <c r="BX149">
        <v>1</v>
      </c>
      <c r="BZ149">
        <v>95</v>
      </c>
      <c r="CA149">
        <v>50</v>
      </c>
      <c r="CF149">
        <v>0</v>
      </c>
      <c r="CG149">
        <v>0</v>
      </c>
      <c r="CM149">
        <v>0</v>
      </c>
      <c r="CO149">
        <v>0</v>
      </c>
      <c r="CP149">
        <f t="shared" si="110"/>
        <v>412.6</v>
      </c>
      <c r="CQ149">
        <f t="shared" si="111"/>
        <v>0</v>
      </c>
      <c r="CR149">
        <f t="shared" si="112"/>
        <v>1992.9330000000002</v>
      </c>
      <c r="CS149">
        <f t="shared" si="113"/>
        <v>610.3768</v>
      </c>
      <c r="CT149">
        <f t="shared" si="114"/>
        <v>2133.3248</v>
      </c>
      <c r="CU149">
        <f t="shared" si="115"/>
        <v>0</v>
      </c>
      <c r="CV149">
        <f t="shared" si="116"/>
        <v>12.53</v>
      </c>
      <c r="CW149">
        <f t="shared" si="117"/>
        <v>3.04</v>
      </c>
      <c r="CX149">
        <f t="shared" si="118"/>
        <v>0</v>
      </c>
      <c r="CY149">
        <f t="shared" si="119"/>
        <v>222.183</v>
      </c>
      <c r="CZ149">
        <f t="shared" si="120"/>
        <v>109.72</v>
      </c>
      <c r="DN149">
        <v>0</v>
      </c>
      <c r="DO149">
        <v>0</v>
      </c>
      <c r="DP149">
        <v>1</v>
      </c>
      <c r="DQ149">
        <v>1</v>
      </c>
      <c r="DU149">
        <v>1007</v>
      </c>
      <c r="DV149" t="s">
        <v>114</v>
      </c>
      <c r="DW149" t="s">
        <v>114</v>
      </c>
      <c r="DX149">
        <v>100</v>
      </c>
      <c r="EE149">
        <v>39125348</v>
      </c>
      <c r="EF149">
        <v>2</v>
      </c>
      <c r="EG149" t="s">
        <v>28</v>
      </c>
      <c r="EH149">
        <v>0</v>
      </c>
      <c r="EJ149">
        <v>1</v>
      </c>
      <c r="EK149">
        <v>1002</v>
      </c>
      <c r="EL149" t="s">
        <v>109</v>
      </c>
      <c r="EM149" t="s">
        <v>30</v>
      </c>
      <c r="EQ149">
        <v>0</v>
      </c>
      <c r="ER149">
        <v>387.18</v>
      </c>
      <c r="ES149">
        <v>0</v>
      </c>
      <c r="ET149">
        <v>280.3</v>
      </c>
      <c r="EU149">
        <v>30.58</v>
      </c>
      <c r="EV149">
        <v>106.88</v>
      </c>
      <c r="EW149">
        <v>12.53</v>
      </c>
      <c r="EX149">
        <v>3.04</v>
      </c>
      <c r="EY149">
        <v>0</v>
      </c>
      <c r="FQ149">
        <v>0</v>
      </c>
      <c r="FR149">
        <f t="shared" si="121"/>
        <v>0</v>
      </c>
      <c r="FS149">
        <v>0</v>
      </c>
      <c r="FV149" t="s">
        <v>31</v>
      </c>
      <c r="FW149" t="s">
        <v>32</v>
      </c>
      <c r="FX149">
        <v>95</v>
      </c>
      <c r="FY149">
        <v>50</v>
      </c>
      <c r="GD149">
        <v>0</v>
      </c>
      <c r="GF149">
        <v>-1681915118</v>
      </c>
      <c r="GG149">
        <v>2</v>
      </c>
      <c r="GH149">
        <v>1</v>
      </c>
      <c r="GI149">
        <v>4</v>
      </c>
      <c r="GJ149">
        <v>0</v>
      </c>
      <c r="GK149">
        <f>ROUND(R149*(R12)/100,1)</f>
        <v>0</v>
      </c>
      <c r="GL149">
        <f t="shared" si="122"/>
        <v>0</v>
      </c>
      <c r="GM149">
        <f t="shared" si="123"/>
        <v>744.5</v>
      </c>
      <c r="GN149">
        <f t="shared" si="124"/>
        <v>744.5</v>
      </c>
      <c r="GO149">
        <f t="shared" si="125"/>
        <v>0</v>
      </c>
      <c r="GP149">
        <f t="shared" si="126"/>
        <v>0</v>
      </c>
      <c r="GR149">
        <v>0</v>
      </c>
      <c r="GS149">
        <v>3</v>
      </c>
      <c r="GT149">
        <v>0</v>
      </c>
      <c r="GV149">
        <f t="shared" si="127"/>
        <v>0</v>
      </c>
      <c r="GW149">
        <v>19.96</v>
      </c>
      <c r="GX149">
        <f t="shared" si="128"/>
        <v>0</v>
      </c>
      <c r="HA149">
        <v>0</v>
      </c>
      <c r="HB149">
        <v>0</v>
      </c>
      <c r="IK149">
        <v>0</v>
      </c>
    </row>
    <row r="150" spans="1:245" ht="12.75">
      <c r="A150">
        <v>17</v>
      </c>
      <c r="B150">
        <v>1</v>
      </c>
      <c r="C150">
        <f>ROW(SmtRes!A53)</f>
        <v>53</v>
      </c>
      <c r="D150">
        <f>ROW(EtalonRes!A51)</f>
        <v>51</v>
      </c>
      <c r="E150" t="s">
        <v>178</v>
      </c>
      <c r="F150" t="s">
        <v>179</v>
      </c>
      <c r="G150" t="s">
        <v>180</v>
      </c>
      <c r="H150" t="s">
        <v>114</v>
      </c>
      <c r="I150">
        <f>ROUND(0.5,3)</f>
        <v>0.5</v>
      </c>
      <c r="J150">
        <v>0</v>
      </c>
      <c r="O150">
        <f t="shared" si="90"/>
        <v>8913.6</v>
      </c>
      <c r="P150">
        <f t="shared" si="91"/>
        <v>34.5</v>
      </c>
      <c r="Q150">
        <f t="shared" si="92"/>
        <v>7620.9</v>
      </c>
      <c r="R150">
        <f t="shared" si="93"/>
        <v>1772.3</v>
      </c>
      <c r="S150">
        <f t="shared" si="94"/>
        <v>1258.2</v>
      </c>
      <c r="T150">
        <f t="shared" si="95"/>
        <v>0</v>
      </c>
      <c r="U150">
        <f t="shared" si="96"/>
        <v>7.86</v>
      </c>
      <c r="V150">
        <f t="shared" si="97"/>
        <v>6.94</v>
      </c>
      <c r="W150">
        <f t="shared" si="98"/>
        <v>0</v>
      </c>
      <c r="X150">
        <f t="shared" si="99"/>
        <v>3666.9</v>
      </c>
      <c r="Y150">
        <f t="shared" si="100"/>
        <v>2303.2</v>
      </c>
      <c r="AA150">
        <v>42253831</v>
      </c>
      <c r="AB150">
        <f t="shared" si="101"/>
        <v>2281.99</v>
      </c>
      <c r="AC150">
        <f t="shared" si="102"/>
        <v>12.2</v>
      </c>
      <c r="AD150">
        <f t="shared" si="103"/>
        <v>2143.72</v>
      </c>
      <c r="AE150">
        <f t="shared" si="104"/>
        <v>177.59</v>
      </c>
      <c r="AF150">
        <f t="shared" si="105"/>
        <v>126.07</v>
      </c>
      <c r="AG150">
        <f t="shared" si="106"/>
        <v>0</v>
      </c>
      <c r="AH150">
        <f t="shared" si="107"/>
        <v>15.72</v>
      </c>
      <c r="AI150">
        <f t="shared" si="108"/>
        <v>13.88</v>
      </c>
      <c r="AJ150">
        <f t="shared" si="109"/>
        <v>0</v>
      </c>
      <c r="AK150">
        <v>2281.99</v>
      </c>
      <c r="AL150">
        <v>12.2</v>
      </c>
      <c r="AM150">
        <v>2143.72</v>
      </c>
      <c r="AN150">
        <v>177.59</v>
      </c>
      <c r="AO150">
        <v>126.07</v>
      </c>
      <c r="AP150">
        <v>0</v>
      </c>
      <c r="AQ150">
        <v>15.72</v>
      </c>
      <c r="AR150">
        <v>13.88</v>
      </c>
      <c r="AS150">
        <v>0</v>
      </c>
      <c r="AT150">
        <v>121</v>
      </c>
      <c r="AU150">
        <v>76</v>
      </c>
      <c r="AV150">
        <v>1</v>
      </c>
      <c r="AW150">
        <v>1</v>
      </c>
      <c r="AZ150">
        <v>1</v>
      </c>
      <c r="BA150">
        <v>19.96</v>
      </c>
      <c r="BB150">
        <v>7.11</v>
      </c>
      <c r="BC150">
        <v>5.66</v>
      </c>
      <c r="BH150">
        <v>0</v>
      </c>
      <c r="BI150">
        <v>1</v>
      </c>
      <c r="BJ150" t="s">
        <v>181</v>
      </c>
      <c r="BM150">
        <v>27001</v>
      </c>
      <c r="BN150">
        <v>0</v>
      </c>
      <c r="BO150" t="s">
        <v>27</v>
      </c>
      <c r="BP150">
        <v>1</v>
      </c>
      <c r="BQ150">
        <v>2</v>
      </c>
      <c r="BR150">
        <v>0</v>
      </c>
      <c r="BS150">
        <v>19.96</v>
      </c>
      <c r="BT150">
        <v>1</v>
      </c>
      <c r="BU150">
        <v>1</v>
      </c>
      <c r="BV150">
        <v>1</v>
      </c>
      <c r="BW150">
        <v>1</v>
      </c>
      <c r="BX150">
        <v>1</v>
      </c>
      <c r="BZ150">
        <v>142</v>
      </c>
      <c r="CA150">
        <v>95</v>
      </c>
      <c r="CF150">
        <v>0</v>
      </c>
      <c r="CG150">
        <v>0</v>
      </c>
      <c r="CM150">
        <v>0</v>
      </c>
      <c r="CO150">
        <v>0</v>
      </c>
      <c r="CP150">
        <f t="shared" si="110"/>
        <v>8913.6</v>
      </c>
      <c r="CQ150">
        <f t="shared" si="111"/>
        <v>69.05199999999999</v>
      </c>
      <c r="CR150">
        <f t="shared" si="112"/>
        <v>15241.849199999999</v>
      </c>
      <c r="CS150">
        <f t="shared" si="113"/>
        <v>3544.6964000000003</v>
      </c>
      <c r="CT150">
        <f t="shared" si="114"/>
        <v>2516.3572</v>
      </c>
      <c r="CU150">
        <f t="shared" si="115"/>
        <v>0</v>
      </c>
      <c r="CV150">
        <f t="shared" si="116"/>
        <v>15.72</v>
      </c>
      <c r="CW150">
        <f t="shared" si="117"/>
        <v>13.88</v>
      </c>
      <c r="CX150">
        <f t="shared" si="118"/>
        <v>0</v>
      </c>
      <c r="CY150">
        <f t="shared" si="119"/>
        <v>3666.905</v>
      </c>
      <c r="CZ150">
        <f t="shared" si="120"/>
        <v>2303.18</v>
      </c>
      <c r="DN150">
        <v>0</v>
      </c>
      <c r="DO150">
        <v>0</v>
      </c>
      <c r="DP150">
        <v>1</v>
      </c>
      <c r="DQ150">
        <v>1</v>
      </c>
      <c r="DU150">
        <v>1007</v>
      </c>
      <c r="DV150" t="s">
        <v>114</v>
      </c>
      <c r="DW150" t="s">
        <v>114</v>
      </c>
      <c r="DX150">
        <v>100</v>
      </c>
      <c r="EE150">
        <v>39125414</v>
      </c>
      <c r="EF150">
        <v>2</v>
      </c>
      <c r="EG150" t="s">
        <v>28</v>
      </c>
      <c r="EH150">
        <v>0</v>
      </c>
      <c r="EJ150">
        <v>1</v>
      </c>
      <c r="EK150">
        <v>27001</v>
      </c>
      <c r="EL150" t="s">
        <v>182</v>
      </c>
      <c r="EM150" t="s">
        <v>183</v>
      </c>
      <c r="EQ150">
        <v>0</v>
      </c>
      <c r="ER150">
        <v>2281.99</v>
      </c>
      <c r="ES150">
        <v>12.2</v>
      </c>
      <c r="ET150">
        <v>2143.72</v>
      </c>
      <c r="EU150">
        <v>177.59</v>
      </c>
      <c r="EV150">
        <v>126.07</v>
      </c>
      <c r="EW150">
        <v>15.72</v>
      </c>
      <c r="EX150">
        <v>13.88</v>
      </c>
      <c r="EY150">
        <v>0</v>
      </c>
      <c r="FQ150">
        <v>0</v>
      </c>
      <c r="FR150">
        <f t="shared" si="121"/>
        <v>0</v>
      </c>
      <c r="FS150">
        <v>0</v>
      </c>
      <c r="FV150" t="s">
        <v>31</v>
      </c>
      <c r="FW150" t="s">
        <v>32</v>
      </c>
      <c r="FX150">
        <v>142</v>
      </c>
      <c r="FY150">
        <v>95</v>
      </c>
      <c r="GD150">
        <v>0</v>
      </c>
      <c r="GF150">
        <v>684086074</v>
      </c>
      <c r="GG150">
        <v>2</v>
      </c>
      <c r="GH150">
        <v>1</v>
      </c>
      <c r="GI150">
        <v>4</v>
      </c>
      <c r="GJ150">
        <v>0</v>
      </c>
      <c r="GK150">
        <f>ROUND(R150*(R12)/100,1)</f>
        <v>0</v>
      </c>
      <c r="GL150">
        <f t="shared" si="122"/>
        <v>0</v>
      </c>
      <c r="GM150">
        <f t="shared" si="123"/>
        <v>14883.7</v>
      </c>
      <c r="GN150">
        <f t="shared" si="124"/>
        <v>14883.7</v>
      </c>
      <c r="GO150">
        <f t="shared" si="125"/>
        <v>0</v>
      </c>
      <c r="GP150">
        <f t="shared" si="126"/>
        <v>0</v>
      </c>
      <c r="GR150">
        <v>0</v>
      </c>
      <c r="GS150">
        <v>3</v>
      </c>
      <c r="GT150">
        <v>0</v>
      </c>
      <c r="GV150">
        <f t="shared" si="127"/>
        <v>0</v>
      </c>
      <c r="GW150">
        <v>19.96</v>
      </c>
      <c r="GX150">
        <f t="shared" si="128"/>
        <v>0</v>
      </c>
      <c r="HA150">
        <v>0</v>
      </c>
      <c r="HB150">
        <v>0</v>
      </c>
      <c r="IK150">
        <v>0</v>
      </c>
    </row>
    <row r="151" spans="1:245" ht="12.75">
      <c r="A151">
        <v>18</v>
      </c>
      <c r="B151">
        <v>1</v>
      </c>
      <c r="C151">
        <v>53</v>
      </c>
      <c r="E151" t="s">
        <v>184</v>
      </c>
      <c r="F151" t="s">
        <v>138</v>
      </c>
      <c r="G151" t="s">
        <v>139</v>
      </c>
      <c r="H151" t="s">
        <v>140</v>
      </c>
      <c r="I151">
        <f>I150*J151</f>
        <v>50</v>
      </c>
      <c r="J151">
        <v>100</v>
      </c>
      <c r="O151">
        <f t="shared" si="90"/>
        <v>15638.6</v>
      </c>
      <c r="P151">
        <f t="shared" si="91"/>
        <v>15638.6</v>
      </c>
      <c r="Q151">
        <f t="shared" si="92"/>
        <v>0</v>
      </c>
      <c r="R151">
        <f t="shared" si="93"/>
        <v>0</v>
      </c>
      <c r="S151">
        <f t="shared" si="94"/>
        <v>0</v>
      </c>
      <c r="T151">
        <f t="shared" si="95"/>
        <v>0</v>
      </c>
      <c r="U151">
        <f t="shared" si="96"/>
        <v>0</v>
      </c>
      <c r="V151">
        <f t="shared" si="97"/>
        <v>0</v>
      </c>
      <c r="W151">
        <f t="shared" si="98"/>
        <v>0</v>
      </c>
      <c r="X151">
        <f t="shared" si="99"/>
        <v>0</v>
      </c>
      <c r="Y151">
        <f t="shared" si="100"/>
        <v>0</v>
      </c>
      <c r="AA151">
        <v>42253831</v>
      </c>
      <c r="AB151">
        <f t="shared" si="101"/>
        <v>55.26</v>
      </c>
      <c r="AC151">
        <f t="shared" si="102"/>
        <v>55.26</v>
      </c>
      <c r="AD151">
        <f t="shared" si="103"/>
        <v>0</v>
      </c>
      <c r="AE151">
        <f t="shared" si="104"/>
        <v>0</v>
      </c>
      <c r="AF151">
        <f t="shared" si="105"/>
        <v>0</v>
      </c>
      <c r="AG151">
        <f t="shared" si="106"/>
        <v>0</v>
      </c>
      <c r="AH151">
        <f t="shared" si="107"/>
        <v>0</v>
      </c>
      <c r="AI151">
        <f t="shared" si="108"/>
        <v>0</v>
      </c>
      <c r="AJ151">
        <f t="shared" si="109"/>
        <v>0</v>
      </c>
      <c r="AK151">
        <v>55.26</v>
      </c>
      <c r="AL151">
        <v>55.26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80</v>
      </c>
      <c r="AU151">
        <v>45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v>5.66</v>
      </c>
      <c r="BH151">
        <v>3</v>
      </c>
      <c r="BI151">
        <v>1</v>
      </c>
      <c r="BJ151" t="s">
        <v>141</v>
      </c>
      <c r="BM151">
        <v>500001</v>
      </c>
      <c r="BN151">
        <v>0</v>
      </c>
      <c r="BO151" t="s">
        <v>27</v>
      </c>
      <c r="BP151">
        <v>1</v>
      </c>
      <c r="BQ151">
        <v>8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Z151">
        <v>80</v>
      </c>
      <c r="CA151">
        <v>45</v>
      </c>
      <c r="CF151">
        <v>0</v>
      </c>
      <c r="CG151">
        <v>0</v>
      </c>
      <c r="CM151">
        <v>0</v>
      </c>
      <c r="CO151">
        <v>0</v>
      </c>
      <c r="CP151">
        <f t="shared" si="110"/>
        <v>15638.6</v>
      </c>
      <c r="CQ151">
        <f t="shared" si="111"/>
        <v>312.7716</v>
      </c>
      <c r="CR151">
        <f t="shared" si="112"/>
        <v>0</v>
      </c>
      <c r="CS151">
        <f t="shared" si="113"/>
        <v>0</v>
      </c>
      <c r="CT151">
        <f t="shared" si="114"/>
        <v>0</v>
      </c>
      <c r="CU151">
        <f t="shared" si="115"/>
        <v>0</v>
      </c>
      <c r="CV151">
        <f t="shared" si="116"/>
        <v>0</v>
      </c>
      <c r="CW151">
        <f t="shared" si="117"/>
        <v>0</v>
      </c>
      <c r="CX151">
        <f t="shared" si="118"/>
        <v>0</v>
      </c>
      <c r="CY151">
        <f t="shared" si="119"/>
        <v>0</v>
      </c>
      <c r="CZ151">
        <f t="shared" si="120"/>
        <v>0</v>
      </c>
      <c r="DN151">
        <v>0</v>
      </c>
      <c r="DO151">
        <v>0</v>
      </c>
      <c r="DP151">
        <v>1</v>
      </c>
      <c r="DQ151">
        <v>1</v>
      </c>
      <c r="DU151">
        <v>1007</v>
      </c>
      <c r="DV151" t="s">
        <v>140</v>
      </c>
      <c r="DW151" t="s">
        <v>140</v>
      </c>
      <c r="DX151">
        <v>1</v>
      </c>
      <c r="EE151">
        <v>39125306</v>
      </c>
      <c r="EF151">
        <v>8</v>
      </c>
      <c r="EG151" t="s">
        <v>142</v>
      </c>
      <c r="EH151">
        <v>0</v>
      </c>
      <c r="EJ151">
        <v>1</v>
      </c>
      <c r="EK151">
        <v>500001</v>
      </c>
      <c r="EL151" t="s">
        <v>143</v>
      </c>
      <c r="EM151" t="s">
        <v>144</v>
      </c>
      <c r="EQ151">
        <v>0</v>
      </c>
      <c r="ER151">
        <v>55.26</v>
      </c>
      <c r="ES151">
        <v>55.26</v>
      </c>
      <c r="ET151">
        <v>0</v>
      </c>
      <c r="EU151">
        <v>0</v>
      </c>
      <c r="EV151">
        <v>0</v>
      </c>
      <c r="EW151">
        <v>0</v>
      </c>
      <c r="EX151">
        <v>0</v>
      </c>
      <c r="FQ151">
        <v>0</v>
      </c>
      <c r="FR151">
        <f t="shared" si="121"/>
        <v>0</v>
      </c>
      <c r="FS151">
        <v>0</v>
      </c>
      <c r="FX151">
        <v>80</v>
      </c>
      <c r="FY151">
        <v>45</v>
      </c>
      <c r="GD151">
        <v>0</v>
      </c>
      <c r="GF151">
        <v>-35545874</v>
      </c>
      <c r="GG151">
        <v>2</v>
      </c>
      <c r="GH151">
        <v>1</v>
      </c>
      <c r="GI151">
        <v>4</v>
      </c>
      <c r="GJ151">
        <v>0</v>
      </c>
      <c r="GK151">
        <f>ROUND(R151*(R12)/100,1)</f>
        <v>0</v>
      </c>
      <c r="GL151">
        <f t="shared" si="122"/>
        <v>0</v>
      </c>
      <c r="GM151">
        <f t="shared" si="123"/>
        <v>15638.6</v>
      </c>
      <c r="GN151">
        <f t="shared" si="124"/>
        <v>15638.6</v>
      </c>
      <c r="GO151">
        <f t="shared" si="125"/>
        <v>0</v>
      </c>
      <c r="GP151">
        <f t="shared" si="126"/>
        <v>0</v>
      </c>
      <c r="GR151">
        <v>0</v>
      </c>
      <c r="GS151">
        <v>0</v>
      </c>
      <c r="GT151">
        <v>0</v>
      </c>
      <c r="GV151">
        <f t="shared" si="127"/>
        <v>0</v>
      </c>
      <c r="GW151">
        <v>1</v>
      </c>
      <c r="GX151">
        <f t="shared" si="128"/>
        <v>0</v>
      </c>
      <c r="HA151">
        <v>0</v>
      </c>
      <c r="HB151">
        <v>0</v>
      </c>
      <c r="IK151">
        <v>0</v>
      </c>
    </row>
    <row r="152" spans="1:245" ht="12.75">
      <c r="A152">
        <v>17</v>
      </c>
      <c r="B152">
        <v>1</v>
      </c>
      <c r="C152">
        <f>ROW(SmtRes!A61)</f>
        <v>61</v>
      </c>
      <c r="D152">
        <f>ROW(EtalonRes!A59)</f>
        <v>59</v>
      </c>
      <c r="E152" t="s">
        <v>185</v>
      </c>
      <c r="F152" t="s">
        <v>186</v>
      </c>
      <c r="G152" t="s">
        <v>187</v>
      </c>
      <c r="H152" t="s">
        <v>114</v>
      </c>
      <c r="I152">
        <f>ROUND(0.07,3)</f>
        <v>0.07</v>
      </c>
      <c r="J152">
        <v>0</v>
      </c>
      <c r="O152">
        <f t="shared" si="90"/>
        <v>3110.7</v>
      </c>
      <c r="P152">
        <f t="shared" si="91"/>
        <v>358.8</v>
      </c>
      <c r="Q152">
        <f t="shared" si="92"/>
        <v>790.2</v>
      </c>
      <c r="R152">
        <f t="shared" si="93"/>
        <v>341.6</v>
      </c>
      <c r="S152">
        <f t="shared" si="94"/>
        <v>1961.7</v>
      </c>
      <c r="T152">
        <f t="shared" si="95"/>
        <v>0</v>
      </c>
      <c r="U152">
        <f t="shared" si="96"/>
        <v>12.600000000000001</v>
      </c>
      <c r="V152">
        <f t="shared" si="97"/>
        <v>1.2691000000000001</v>
      </c>
      <c r="W152">
        <f t="shared" si="98"/>
        <v>0</v>
      </c>
      <c r="X152">
        <f t="shared" si="99"/>
        <v>2049.9</v>
      </c>
      <c r="Y152">
        <f t="shared" si="100"/>
        <v>1197.7</v>
      </c>
      <c r="AA152">
        <v>42253831</v>
      </c>
      <c r="AB152">
        <f t="shared" si="101"/>
        <v>3897.23</v>
      </c>
      <c r="AC152">
        <f t="shared" si="102"/>
        <v>905.49</v>
      </c>
      <c r="AD152">
        <f t="shared" si="103"/>
        <v>1587.74</v>
      </c>
      <c r="AE152">
        <f t="shared" si="104"/>
        <v>244.51</v>
      </c>
      <c r="AF152">
        <f t="shared" si="105"/>
        <v>1404</v>
      </c>
      <c r="AG152">
        <f t="shared" si="106"/>
        <v>0</v>
      </c>
      <c r="AH152">
        <f t="shared" si="107"/>
        <v>180</v>
      </c>
      <c r="AI152">
        <f t="shared" si="108"/>
        <v>18.13</v>
      </c>
      <c r="AJ152">
        <f t="shared" si="109"/>
        <v>0</v>
      </c>
      <c r="AK152">
        <v>3897.23</v>
      </c>
      <c r="AL152">
        <v>905.49</v>
      </c>
      <c r="AM152">
        <v>1587.74</v>
      </c>
      <c r="AN152">
        <v>244.51</v>
      </c>
      <c r="AO152">
        <v>1404</v>
      </c>
      <c r="AP152">
        <v>0</v>
      </c>
      <c r="AQ152">
        <v>180</v>
      </c>
      <c r="AR152">
        <v>18.13</v>
      </c>
      <c r="AS152">
        <v>0</v>
      </c>
      <c r="AT152">
        <v>89</v>
      </c>
      <c r="AU152">
        <v>52</v>
      </c>
      <c r="AV152">
        <v>1</v>
      </c>
      <c r="AW152">
        <v>1</v>
      </c>
      <c r="AZ152">
        <v>1</v>
      </c>
      <c r="BA152">
        <v>19.96</v>
      </c>
      <c r="BB152">
        <v>7.11</v>
      </c>
      <c r="BC152">
        <v>5.66</v>
      </c>
      <c r="BH152">
        <v>0</v>
      </c>
      <c r="BI152">
        <v>1</v>
      </c>
      <c r="BJ152" t="s">
        <v>188</v>
      </c>
      <c r="BM152">
        <v>6001</v>
      </c>
      <c r="BN152">
        <v>0</v>
      </c>
      <c r="BO152" t="s">
        <v>27</v>
      </c>
      <c r="BP152">
        <v>1</v>
      </c>
      <c r="BQ152">
        <v>2</v>
      </c>
      <c r="BR152">
        <v>0</v>
      </c>
      <c r="BS152">
        <v>19.96</v>
      </c>
      <c r="BT152">
        <v>1</v>
      </c>
      <c r="BU152">
        <v>1</v>
      </c>
      <c r="BV152">
        <v>1</v>
      </c>
      <c r="BW152">
        <v>1</v>
      </c>
      <c r="BX152">
        <v>1</v>
      </c>
      <c r="BZ152">
        <v>105</v>
      </c>
      <c r="CA152">
        <v>65</v>
      </c>
      <c r="CF152">
        <v>0</v>
      </c>
      <c r="CG152">
        <v>0</v>
      </c>
      <c r="CM152">
        <v>0</v>
      </c>
      <c r="CO152">
        <v>0</v>
      </c>
      <c r="CP152">
        <f t="shared" si="110"/>
        <v>3110.7</v>
      </c>
      <c r="CQ152">
        <f t="shared" si="111"/>
        <v>5125.0734</v>
      </c>
      <c r="CR152">
        <f t="shared" si="112"/>
        <v>11288.831400000001</v>
      </c>
      <c r="CS152">
        <f t="shared" si="113"/>
        <v>4880.4196</v>
      </c>
      <c r="CT152">
        <f t="shared" si="114"/>
        <v>28023.84</v>
      </c>
      <c r="CU152">
        <f t="shared" si="115"/>
        <v>0</v>
      </c>
      <c r="CV152">
        <f t="shared" si="116"/>
        <v>180</v>
      </c>
      <c r="CW152">
        <f t="shared" si="117"/>
        <v>18.13</v>
      </c>
      <c r="CX152">
        <f t="shared" si="118"/>
        <v>0</v>
      </c>
      <c r="CY152">
        <f t="shared" si="119"/>
        <v>2049.937</v>
      </c>
      <c r="CZ152">
        <f t="shared" si="120"/>
        <v>1197.7160000000001</v>
      </c>
      <c r="DN152">
        <v>0</v>
      </c>
      <c r="DO152">
        <v>0</v>
      </c>
      <c r="DP152">
        <v>1</v>
      </c>
      <c r="DQ152">
        <v>1</v>
      </c>
      <c r="DU152">
        <v>1007</v>
      </c>
      <c r="DV152" t="s">
        <v>114</v>
      </c>
      <c r="DW152" t="s">
        <v>114</v>
      </c>
      <c r="DX152">
        <v>100</v>
      </c>
      <c r="EE152">
        <v>39125360</v>
      </c>
      <c r="EF152">
        <v>2</v>
      </c>
      <c r="EG152" t="s">
        <v>28</v>
      </c>
      <c r="EH152">
        <v>0</v>
      </c>
      <c r="EJ152">
        <v>1</v>
      </c>
      <c r="EK152">
        <v>6001</v>
      </c>
      <c r="EL152" t="s">
        <v>189</v>
      </c>
      <c r="EM152" t="s">
        <v>190</v>
      </c>
      <c r="EQ152">
        <v>0</v>
      </c>
      <c r="ER152">
        <v>3897.23</v>
      </c>
      <c r="ES152">
        <v>905.49</v>
      </c>
      <c r="ET152">
        <v>1587.74</v>
      </c>
      <c r="EU152">
        <v>244.51</v>
      </c>
      <c r="EV152">
        <v>1404</v>
      </c>
      <c r="EW152">
        <v>180</v>
      </c>
      <c r="EX152">
        <v>18.13</v>
      </c>
      <c r="EY152">
        <v>0</v>
      </c>
      <c r="FQ152">
        <v>0</v>
      </c>
      <c r="FR152">
        <f t="shared" si="121"/>
        <v>0</v>
      </c>
      <c r="FS152">
        <v>0</v>
      </c>
      <c r="FV152" t="s">
        <v>31</v>
      </c>
      <c r="FW152" t="s">
        <v>32</v>
      </c>
      <c r="FX152">
        <v>105</v>
      </c>
      <c r="FY152">
        <v>65</v>
      </c>
      <c r="GD152">
        <v>0</v>
      </c>
      <c r="GF152">
        <v>1120797142</v>
      </c>
      <c r="GG152">
        <v>2</v>
      </c>
      <c r="GH152">
        <v>1</v>
      </c>
      <c r="GI152">
        <v>4</v>
      </c>
      <c r="GJ152">
        <v>0</v>
      </c>
      <c r="GK152">
        <f>ROUND(R152*(R12)/100,1)</f>
        <v>0</v>
      </c>
      <c r="GL152">
        <f t="shared" si="122"/>
        <v>0</v>
      </c>
      <c r="GM152">
        <f t="shared" si="123"/>
        <v>6358.3</v>
      </c>
      <c r="GN152">
        <f t="shared" si="124"/>
        <v>6358.3</v>
      </c>
      <c r="GO152">
        <f t="shared" si="125"/>
        <v>0</v>
      </c>
      <c r="GP152">
        <f t="shared" si="126"/>
        <v>0</v>
      </c>
      <c r="GR152">
        <v>0</v>
      </c>
      <c r="GS152">
        <v>3</v>
      </c>
      <c r="GT152">
        <v>0</v>
      </c>
      <c r="GV152">
        <f t="shared" si="127"/>
        <v>0</v>
      </c>
      <c r="GW152">
        <v>19.96</v>
      </c>
      <c r="GX152">
        <f t="shared" si="128"/>
        <v>0</v>
      </c>
      <c r="HA152">
        <v>0</v>
      </c>
      <c r="HB152">
        <v>0</v>
      </c>
      <c r="IK152">
        <v>0</v>
      </c>
    </row>
    <row r="153" spans="1:245" ht="12.75">
      <c r="A153">
        <v>18</v>
      </c>
      <c r="B153">
        <v>1</v>
      </c>
      <c r="C153">
        <v>61</v>
      </c>
      <c r="E153" t="s">
        <v>191</v>
      </c>
      <c r="F153" t="s">
        <v>192</v>
      </c>
      <c r="G153" t="s">
        <v>193</v>
      </c>
      <c r="H153" t="s">
        <v>140</v>
      </c>
      <c r="I153">
        <f>I152*J153</f>
        <v>7.14</v>
      </c>
      <c r="J153">
        <v>101.99999999999999</v>
      </c>
      <c r="O153">
        <f t="shared" si="90"/>
        <v>26874.2</v>
      </c>
      <c r="P153">
        <f t="shared" si="91"/>
        <v>26874.2</v>
      </c>
      <c r="Q153">
        <f t="shared" si="92"/>
        <v>0</v>
      </c>
      <c r="R153">
        <f t="shared" si="93"/>
        <v>0</v>
      </c>
      <c r="S153">
        <f t="shared" si="94"/>
        <v>0</v>
      </c>
      <c r="T153">
        <f t="shared" si="95"/>
        <v>0</v>
      </c>
      <c r="U153">
        <f t="shared" si="96"/>
        <v>0</v>
      </c>
      <c r="V153">
        <f t="shared" si="97"/>
        <v>0</v>
      </c>
      <c r="W153">
        <f t="shared" si="98"/>
        <v>0</v>
      </c>
      <c r="X153">
        <f t="shared" si="99"/>
        <v>0</v>
      </c>
      <c r="Y153">
        <f t="shared" si="100"/>
        <v>0</v>
      </c>
      <c r="AA153">
        <v>42253831</v>
      </c>
      <c r="AB153">
        <f t="shared" si="101"/>
        <v>665</v>
      </c>
      <c r="AC153">
        <f t="shared" si="102"/>
        <v>665</v>
      </c>
      <c r="AD153">
        <f t="shared" si="103"/>
        <v>0</v>
      </c>
      <c r="AE153">
        <f t="shared" si="104"/>
        <v>0</v>
      </c>
      <c r="AF153">
        <f t="shared" si="105"/>
        <v>0</v>
      </c>
      <c r="AG153">
        <f t="shared" si="106"/>
        <v>0</v>
      </c>
      <c r="AH153">
        <f t="shared" si="107"/>
        <v>0</v>
      </c>
      <c r="AI153">
        <f t="shared" si="108"/>
        <v>0</v>
      </c>
      <c r="AJ153">
        <f t="shared" si="109"/>
        <v>0</v>
      </c>
      <c r="AK153">
        <v>665</v>
      </c>
      <c r="AL153">
        <v>665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89</v>
      </c>
      <c r="AU153">
        <v>52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v>5.66</v>
      </c>
      <c r="BH153">
        <v>3</v>
      </c>
      <c r="BI153">
        <v>1</v>
      </c>
      <c r="BJ153" t="s">
        <v>194</v>
      </c>
      <c r="BM153">
        <v>6001</v>
      </c>
      <c r="BN153">
        <v>0</v>
      </c>
      <c r="BO153" t="s">
        <v>27</v>
      </c>
      <c r="BP153">
        <v>1</v>
      </c>
      <c r="BQ153">
        <v>2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Z153">
        <v>105</v>
      </c>
      <c r="CA153">
        <v>65</v>
      </c>
      <c r="CF153">
        <v>0</v>
      </c>
      <c r="CG153">
        <v>0</v>
      </c>
      <c r="CM153">
        <v>0</v>
      </c>
      <c r="CO153">
        <v>0</v>
      </c>
      <c r="CP153">
        <f t="shared" si="110"/>
        <v>26874.2</v>
      </c>
      <c r="CQ153">
        <f t="shared" si="111"/>
        <v>3763.9</v>
      </c>
      <c r="CR153">
        <f t="shared" si="112"/>
        <v>0</v>
      </c>
      <c r="CS153">
        <f t="shared" si="113"/>
        <v>0</v>
      </c>
      <c r="CT153">
        <f t="shared" si="114"/>
        <v>0</v>
      </c>
      <c r="CU153">
        <f t="shared" si="115"/>
        <v>0</v>
      </c>
      <c r="CV153">
        <f t="shared" si="116"/>
        <v>0</v>
      </c>
      <c r="CW153">
        <f t="shared" si="117"/>
        <v>0</v>
      </c>
      <c r="CX153">
        <f t="shared" si="118"/>
        <v>0</v>
      </c>
      <c r="CY153">
        <f t="shared" si="119"/>
        <v>0</v>
      </c>
      <c r="CZ153">
        <f t="shared" si="120"/>
        <v>0</v>
      </c>
      <c r="DN153">
        <v>0</v>
      </c>
      <c r="DO153">
        <v>0</v>
      </c>
      <c r="DP153">
        <v>1</v>
      </c>
      <c r="DQ153">
        <v>1</v>
      </c>
      <c r="DU153">
        <v>1007</v>
      </c>
      <c r="DV153" t="s">
        <v>140</v>
      </c>
      <c r="DW153" t="s">
        <v>140</v>
      </c>
      <c r="DX153">
        <v>1</v>
      </c>
      <c r="EE153">
        <v>39125360</v>
      </c>
      <c r="EF153">
        <v>2</v>
      </c>
      <c r="EG153" t="s">
        <v>28</v>
      </c>
      <c r="EH153">
        <v>0</v>
      </c>
      <c r="EJ153">
        <v>1</v>
      </c>
      <c r="EK153">
        <v>6001</v>
      </c>
      <c r="EL153" t="s">
        <v>189</v>
      </c>
      <c r="EM153" t="s">
        <v>190</v>
      </c>
      <c r="EQ153">
        <v>0</v>
      </c>
      <c r="ER153">
        <v>665</v>
      </c>
      <c r="ES153">
        <v>665</v>
      </c>
      <c r="ET153">
        <v>0</v>
      </c>
      <c r="EU153">
        <v>0</v>
      </c>
      <c r="EV153">
        <v>0</v>
      </c>
      <c r="EW153">
        <v>0</v>
      </c>
      <c r="EX153">
        <v>0</v>
      </c>
      <c r="FQ153">
        <v>0</v>
      </c>
      <c r="FR153">
        <f t="shared" si="121"/>
        <v>0</v>
      </c>
      <c r="FS153">
        <v>0</v>
      </c>
      <c r="FV153" t="s">
        <v>31</v>
      </c>
      <c r="FW153" t="s">
        <v>32</v>
      </c>
      <c r="FX153">
        <v>105</v>
      </c>
      <c r="FY153">
        <v>65</v>
      </c>
      <c r="GD153">
        <v>0</v>
      </c>
      <c r="GF153">
        <v>-481738122</v>
      </c>
      <c r="GG153">
        <v>2</v>
      </c>
      <c r="GH153">
        <v>1</v>
      </c>
      <c r="GI153">
        <v>4</v>
      </c>
      <c r="GJ153">
        <v>0</v>
      </c>
      <c r="GK153">
        <f>ROUND(R153*(R12)/100,1)</f>
        <v>0</v>
      </c>
      <c r="GL153">
        <f t="shared" si="122"/>
        <v>0</v>
      </c>
      <c r="GM153">
        <f t="shared" si="123"/>
        <v>26874.2</v>
      </c>
      <c r="GN153">
        <f t="shared" si="124"/>
        <v>26874.2</v>
      </c>
      <c r="GO153">
        <f t="shared" si="125"/>
        <v>0</v>
      </c>
      <c r="GP153">
        <f t="shared" si="126"/>
        <v>0</v>
      </c>
      <c r="GR153">
        <v>0</v>
      </c>
      <c r="GS153">
        <v>3</v>
      </c>
      <c r="GT153">
        <v>0</v>
      </c>
      <c r="GV153">
        <f t="shared" si="127"/>
        <v>0</v>
      </c>
      <c r="GW153">
        <v>1</v>
      </c>
      <c r="GX153">
        <f t="shared" si="128"/>
        <v>0</v>
      </c>
      <c r="HA153">
        <v>0</v>
      </c>
      <c r="HB153">
        <v>0</v>
      </c>
      <c r="IK153">
        <v>0</v>
      </c>
    </row>
    <row r="154" spans="1:245" ht="12.75">
      <c r="A154">
        <v>17</v>
      </c>
      <c r="B154">
        <v>1</v>
      </c>
      <c r="C154">
        <f>ROW(SmtRes!A70)</f>
        <v>70</v>
      </c>
      <c r="D154">
        <f>ROW(EtalonRes!A67)</f>
        <v>67</v>
      </c>
      <c r="E154" t="s">
        <v>195</v>
      </c>
      <c r="F154" t="s">
        <v>196</v>
      </c>
      <c r="G154" t="s">
        <v>197</v>
      </c>
      <c r="H154" t="s">
        <v>198</v>
      </c>
      <c r="I154">
        <f>ROUND(0.22,3)</f>
        <v>0.22</v>
      </c>
      <c r="J154">
        <v>0</v>
      </c>
      <c r="O154">
        <f t="shared" si="90"/>
        <v>5929.5</v>
      </c>
      <c r="P154">
        <f t="shared" si="91"/>
        <v>776.7</v>
      </c>
      <c r="Q154">
        <f t="shared" si="92"/>
        <v>3124.9</v>
      </c>
      <c r="R154">
        <f t="shared" si="93"/>
        <v>1240.4</v>
      </c>
      <c r="S154">
        <f t="shared" si="94"/>
        <v>2027.9</v>
      </c>
      <c r="T154">
        <f t="shared" si="95"/>
        <v>0</v>
      </c>
      <c r="U154">
        <f t="shared" si="96"/>
        <v>11.6248</v>
      </c>
      <c r="V154">
        <f t="shared" si="97"/>
        <v>4.7256</v>
      </c>
      <c r="W154">
        <f t="shared" si="98"/>
        <v>0</v>
      </c>
      <c r="X154">
        <f t="shared" si="99"/>
        <v>4314.2</v>
      </c>
      <c r="Y154">
        <f t="shared" si="100"/>
        <v>2614.6</v>
      </c>
      <c r="AA154">
        <v>42253831</v>
      </c>
      <c r="AB154">
        <f t="shared" si="101"/>
        <v>3083.32</v>
      </c>
      <c r="AC154">
        <f t="shared" si="102"/>
        <v>623.76</v>
      </c>
      <c r="AD154">
        <f t="shared" si="103"/>
        <v>1997.74</v>
      </c>
      <c r="AE154">
        <f t="shared" si="104"/>
        <v>282.48</v>
      </c>
      <c r="AF154">
        <f t="shared" si="105"/>
        <v>461.82</v>
      </c>
      <c r="AG154">
        <f t="shared" si="106"/>
        <v>0</v>
      </c>
      <c r="AH154">
        <f t="shared" si="107"/>
        <v>52.84</v>
      </c>
      <c r="AI154">
        <f t="shared" si="108"/>
        <v>21.48</v>
      </c>
      <c r="AJ154">
        <f t="shared" si="109"/>
        <v>0</v>
      </c>
      <c r="AK154">
        <v>3083.32</v>
      </c>
      <c r="AL154">
        <v>623.76</v>
      </c>
      <c r="AM154">
        <v>1997.74</v>
      </c>
      <c r="AN154">
        <v>282.48</v>
      </c>
      <c r="AO154">
        <v>461.82</v>
      </c>
      <c r="AP154">
        <v>0</v>
      </c>
      <c r="AQ154">
        <v>52.84</v>
      </c>
      <c r="AR154">
        <v>21.48</v>
      </c>
      <c r="AS154">
        <v>0</v>
      </c>
      <c r="AT154">
        <v>132</v>
      </c>
      <c r="AU154">
        <v>80</v>
      </c>
      <c r="AV154">
        <v>1</v>
      </c>
      <c r="AW154">
        <v>1</v>
      </c>
      <c r="AZ154">
        <v>1</v>
      </c>
      <c r="BA154">
        <v>19.96</v>
      </c>
      <c r="BB154">
        <v>7.11</v>
      </c>
      <c r="BC154">
        <v>5.66</v>
      </c>
      <c r="BH154">
        <v>0</v>
      </c>
      <c r="BI154">
        <v>1</v>
      </c>
      <c r="BJ154" t="s">
        <v>199</v>
      </c>
      <c r="BM154">
        <v>7005</v>
      </c>
      <c r="BN154">
        <v>0</v>
      </c>
      <c r="BO154" t="s">
        <v>27</v>
      </c>
      <c r="BP154">
        <v>1</v>
      </c>
      <c r="BQ154">
        <v>2</v>
      </c>
      <c r="BR154">
        <v>0</v>
      </c>
      <c r="BS154">
        <v>19.96</v>
      </c>
      <c r="BT154">
        <v>1</v>
      </c>
      <c r="BU154">
        <v>1</v>
      </c>
      <c r="BV154">
        <v>1</v>
      </c>
      <c r="BW154">
        <v>1</v>
      </c>
      <c r="BX154">
        <v>1</v>
      </c>
      <c r="BZ154">
        <v>155</v>
      </c>
      <c r="CA154">
        <v>100</v>
      </c>
      <c r="CF154">
        <v>0</v>
      </c>
      <c r="CG154">
        <v>0</v>
      </c>
      <c r="CM154">
        <v>0</v>
      </c>
      <c r="CO154">
        <v>0</v>
      </c>
      <c r="CP154">
        <f t="shared" si="110"/>
        <v>5929.5</v>
      </c>
      <c r="CQ154">
        <f t="shared" si="111"/>
        <v>3530.4816</v>
      </c>
      <c r="CR154">
        <f t="shared" si="112"/>
        <v>14203.931400000001</v>
      </c>
      <c r="CS154">
        <f t="shared" si="113"/>
        <v>5638.300800000001</v>
      </c>
      <c r="CT154">
        <f t="shared" si="114"/>
        <v>9217.9272</v>
      </c>
      <c r="CU154">
        <f t="shared" si="115"/>
        <v>0</v>
      </c>
      <c r="CV154">
        <f t="shared" si="116"/>
        <v>52.84</v>
      </c>
      <c r="CW154">
        <f t="shared" si="117"/>
        <v>21.48</v>
      </c>
      <c r="CX154">
        <f t="shared" si="118"/>
        <v>0</v>
      </c>
      <c r="CY154">
        <f t="shared" si="119"/>
        <v>4314.156</v>
      </c>
      <c r="CZ154">
        <f t="shared" si="120"/>
        <v>2614.64</v>
      </c>
      <c r="DN154">
        <v>0</v>
      </c>
      <c r="DO154">
        <v>0</v>
      </c>
      <c r="DP154">
        <v>1</v>
      </c>
      <c r="DQ154">
        <v>1</v>
      </c>
      <c r="DU154">
        <v>1013</v>
      </c>
      <c r="DV154" t="s">
        <v>198</v>
      </c>
      <c r="DW154" t="s">
        <v>198</v>
      </c>
      <c r="DX154">
        <v>1</v>
      </c>
      <c r="EE154">
        <v>39125325</v>
      </c>
      <c r="EF154">
        <v>2</v>
      </c>
      <c r="EG154" t="s">
        <v>28</v>
      </c>
      <c r="EH154">
        <v>0</v>
      </c>
      <c r="EJ154">
        <v>1</v>
      </c>
      <c r="EK154">
        <v>7005</v>
      </c>
      <c r="EL154" t="s">
        <v>200</v>
      </c>
      <c r="EM154" t="s">
        <v>201</v>
      </c>
      <c r="EQ154">
        <v>0</v>
      </c>
      <c r="ER154">
        <v>3083.32</v>
      </c>
      <c r="ES154">
        <v>623.76</v>
      </c>
      <c r="ET154">
        <v>1997.74</v>
      </c>
      <c r="EU154">
        <v>282.48</v>
      </c>
      <c r="EV154">
        <v>461.82</v>
      </c>
      <c r="EW154">
        <v>52.84</v>
      </c>
      <c r="EX154">
        <v>21.48</v>
      </c>
      <c r="EY154">
        <v>0</v>
      </c>
      <c r="FQ154">
        <v>0</v>
      </c>
      <c r="FR154">
        <f t="shared" si="121"/>
        <v>0</v>
      </c>
      <c r="FS154">
        <v>0</v>
      </c>
      <c r="FV154" t="s">
        <v>31</v>
      </c>
      <c r="FW154" t="s">
        <v>32</v>
      </c>
      <c r="FX154">
        <v>155</v>
      </c>
      <c r="FY154">
        <v>100</v>
      </c>
      <c r="GD154">
        <v>0</v>
      </c>
      <c r="GF154">
        <v>50669219</v>
      </c>
      <c r="GG154">
        <v>2</v>
      </c>
      <c r="GH154">
        <v>1</v>
      </c>
      <c r="GI154">
        <v>4</v>
      </c>
      <c r="GJ154">
        <v>0</v>
      </c>
      <c r="GK154">
        <f>ROUND(R154*(R12)/100,1)</f>
        <v>0</v>
      </c>
      <c r="GL154">
        <f t="shared" si="122"/>
        <v>0</v>
      </c>
      <c r="GM154">
        <f t="shared" si="123"/>
        <v>12858.3</v>
      </c>
      <c r="GN154">
        <f t="shared" si="124"/>
        <v>12858.3</v>
      </c>
      <c r="GO154">
        <f t="shared" si="125"/>
        <v>0</v>
      </c>
      <c r="GP154">
        <f t="shared" si="126"/>
        <v>0</v>
      </c>
      <c r="GR154">
        <v>0</v>
      </c>
      <c r="GS154">
        <v>3</v>
      </c>
      <c r="GT154">
        <v>0</v>
      </c>
      <c r="GV154">
        <f t="shared" si="127"/>
        <v>0</v>
      </c>
      <c r="GW154">
        <v>19.96</v>
      </c>
      <c r="GX154">
        <f t="shared" si="128"/>
        <v>0</v>
      </c>
      <c r="HA154">
        <v>0</v>
      </c>
      <c r="HB154">
        <v>0</v>
      </c>
      <c r="IK154">
        <v>0</v>
      </c>
    </row>
    <row r="155" spans="1:245" ht="12.75">
      <c r="A155">
        <v>18</v>
      </c>
      <c r="B155">
        <v>1</v>
      </c>
      <c r="C155">
        <v>67</v>
      </c>
      <c r="E155" t="s">
        <v>202</v>
      </c>
      <c r="F155" t="s">
        <v>192</v>
      </c>
      <c r="G155" t="s">
        <v>193</v>
      </c>
      <c r="H155" t="s">
        <v>140</v>
      </c>
      <c r="I155">
        <f>I154*J155</f>
        <v>0.0902</v>
      </c>
      <c r="J155">
        <v>0.41000000000000003</v>
      </c>
      <c r="O155">
        <f t="shared" si="90"/>
        <v>339.5</v>
      </c>
      <c r="P155">
        <f t="shared" si="91"/>
        <v>339.5</v>
      </c>
      <c r="Q155">
        <f t="shared" si="92"/>
        <v>0</v>
      </c>
      <c r="R155">
        <f t="shared" si="93"/>
        <v>0</v>
      </c>
      <c r="S155">
        <f t="shared" si="94"/>
        <v>0</v>
      </c>
      <c r="T155">
        <f t="shared" si="95"/>
        <v>0</v>
      </c>
      <c r="U155">
        <f t="shared" si="96"/>
        <v>0</v>
      </c>
      <c r="V155">
        <f t="shared" si="97"/>
        <v>0</v>
      </c>
      <c r="W155">
        <f t="shared" si="98"/>
        <v>0</v>
      </c>
      <c r="X155">
        <f t="shared" si="99"/>
        <v>0</v>
      </c>
      <c r="Y155">
        <f t="shared" si="100"/>
        <v>0</v>
      </c>
      <c r="AA155">
        <v>42253831</v>
      </c>
      <c r="AB155">
        <f t="shared" si="101"/>
        <v>665</v>
      </c>
      <c r="AC155">
        <f t="shared" si="102"/>
        <v>665</v>
      </c>
      <c r="AD155">
        <f t="shared" si="103"/>
        <v>0</v>
      </c>
      <c r="AE155">
        <f t="shared" si="104"/>
        <v>0</v>
      </c>
      <c r="AF155">
        <f t="shared" si="105"/>
        <v>0</v>
      </c>
      <c r="AG155">
        <f t="shared" si="106"/>
        <v>0</v>
      </c>
      <c r="AH155">
        <f t="shared" si="107"/>
        <v>0</v>
      </c>
      <c r="AI155">
        <f t="shared" si="108"/>
        <v>0</v>
      </c>
      <c r="AJ155">
        <f t="shared" si="109"/>
        <v>0</v>
      </c>
      <c r="AK155">
        <v>665</v>
      </c>
      <c r="AL155">
        <v>665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89</v>
      </c>
      <c r="AU155">
        <v>52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v>5.66</v>
      </c>
      <c r="BH155">
        <v>3</v>
      </c>
      <c r="BI155">
        <v>1</v>
      </c>
      <c r="BJ155" t="s">
        <v>194</v>
      </c>
      <c r="BM155">
        <v>6001</v>
      </c>
      <c r="BN155">
        <v>0</v>
      </c>
      <c r="BO155" t="s">
        <v>27</v>
      </c>
      <c r="BP155">
        <v>1</v>
      </c>
      <c r="BQ155">
        <v>2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Z155">
        <v>105</v>
      </c>
      <c r="CA155">
        <v>65</v>
      </c>
      <c r="CF155">
        <v>0</v>
      </c>
      <c r="CG155">
        <v>0</v>
      </c>
      <c r="CM155">
        <v>0</v>
      </c>
      <c r="CO155">
        <v>0</v>
      </c>
      <c r="CP155">
        <f t="shared" si="110"/>
        <v>339.5</v>
      </c>
      <c r="CQ155">
        <f t="shared" si="111"/>
        <v>3763.9</v>
      </c>
      <c r="CR155">
        <f t="shared" si="112"/>
        <v>0</v>
      </c>
      <c r="CS155">
        <f t="shared" si="113"/>
        <v>0</v>
      </c>
      <c r="CT155">
        <f t="shared" si="114"/>
        <v>0</v>
      </c>
      <c r="CU155">
        <f t="shared" si="115"/>
        <v>0</v>
      </c>
      <c r="CV155">
        <f t="shared" si="116"/>
        <v>0</v>
      </c>
      <c r="CW155">
        <f t="shared" si="117"/>
        <v>0</v>
      </c>
      <c r="CX155">
        <f t="shared" si="118"/>
        <v>0</v>
      </c>
      <c r="CY155">
        <f t="shared" si="119"/>
        <v>0</v>
      </c>
      <c r="CZ155">
        <f t="shared" si="120"/>
        <v>0</v>
      </c>
      <c r="DN155">
        <v>0</v>
      </c>
      <c r="DO155">
        <v>0</v>
      </c>
      <c r="DP155">
        <v>1</v>
      </c>
      <c r="DQ155">
        <v>1</v>
      </c>
      <c r="DU155">
        <v>1007</v>
      </c>
      <c r="DV155" t="s">
        <v>140</v>
      </c>
      <c r="DW155" t="s">
        <v>140</v>
      </c>
      <c r="DX155">
        <v>1</v>
      </c>
      <c r="EE155">
        <v>39125360</v>
      </c>
      <c r="EF155">
        <v>2</v>
      </c>
      <c r="EG155" t="s">
        <v>28</v>
      </c>
      <c r="EH155">
        <v>0</v>
      </c>
      <c r="EJ155">
        <v>1</v>
      </c>
      <c r="EK155">
        <v>6001</v>
      </c>
      <c r="EL155" t="s">
        <v>189</v>
      </c>
      <c r="EM155" t="s">
        <v>190</v>
      </c>
      <c r="EQ155">
        <v>0</v>
      </c>
      <c r="ER155">
        <v>665</v>
      </c>
      <c r="ES155">
        <v>665</v>
      </c>
      <c r="ET155">
        <v>0</v>
      </c>
      <c r="EU155">
        <v>0</v>
      </c>
      <c r="EV155">
        <v>0</v>
      </c>
      <c r="EW155">
        <v>0</v>
      </c>
      <c r="EX155">
        <v>0</v>
      </c>
      <c r="FQ155">
        <v>0</v>
      </c>
      <c r="FR155">
        <f t="shared" si="121"/>
        <v>0</v>
      </c>
      <c r="FS155">
        <v>0</v>
      </c>
      <c r="FV155" t="s">
        <v>31</v>
      </c>
      <c r="FW155" t="s">
        <v>32</v>
      </c>
      <c r="FX155">
        <v>105</v>
      </c>
      <c r="FY155">
        <v>65</v>
      </c>
      <c r="GD155">
        <v>0</v>
      </c>
      <c r="GF155">
        <v>-481738122</v>
      </c>
      <c r="GG155">
        <v>2</v>
      </c>
      <c r="GH155">
        <v>1</v>
      </c>
      <c r="GI155">
        <v>4</v>
      </c>
      <c r="GJ155">
        <v>0</v>
      </c>
      <c r="GK155">
        <f>ROUND(R155*(R12)/100,1)</f>
        <v>0</v>
      </c>
      <c r="GL155">
        <f t="shared" si="122"/>
        <v>0</v>
      </c>
      <c r="GM155">
        <f t="shared" si="123"/>
        <v>339.5</v>
      </c>
      <c r="GN155">
        <f t="shared" si="124"/>
        <v>339.5</v>
      </c>
      <c r="GO155">
        <f t="shared" si="125"/>
        <v>0</v>
      </c>
      <c r="GP155">
        <f t="shared" si="126"/>
        <v>0</v>
      </c>
      <c r="GR155">
        <v>0</v>
      </c>
      <c r="GS155">
        <v>3</v>
      </c>
      <c r="GT155">
        <v>0</v>
      </c>
      <c r="GV155">
        <f t="shared" si="127"/>
        <v>0</v>
      </c>
      <c r="GW155">
        <v>1</v>
      </c>
      <c r="GX155">
        <f t="shared" si="128"/>
        <v>0</v>
      </c>
      <c r="HA155">
        <v>0</v>
      </c>
      <c r="HB155">
        <v>0</v>
      </c>
      <c r="IK155">
        <v>0</v>
      </c>
    </row>
    <row r="156" spans="1:245" ht="12.75">
      <c r="A156">
        <v>18</v>
      </c>
      <c r="B156">
        <v>1</v>
      </c>
      <c r="C156">
        <v>69</v>
      </c>
      <c r="E156" t="s">
        <v>203</v>
      </c>
      <c r="F156" t="s">
        <v>158</v>
      </c>
      <c r="G156" t="s">
        <v>204</v>
      </c>
      <c r="H156" t="s">
        <v>160</v>
      </c>
      <c r="I156">
        <f>I154*J156</f>
        <v>11</v>
      </c>
      <c r="J156">
        <v>50</v>
      </c>
      <c r="O156">
        <f t="shared" si="90"/>
        <v>16212.9</v>
      </c>
      <c r="P156">
        <f t="shared" si="91"/>
        <v>16212.9</v>
      </c>
      <c r="Q156">
        <f t="shared" si="92"/>
        <v>0</v>
      </c>
      <c r="R156">
        <f t="shared" si="93"/>
        <v>0</v>
      </c>
      <c r="S156">
        <f t="shared" si="94"/>
        <v>0</v>
      </c>
      <c r="T156">
        <f t="shared" si="95"/>
        <v>0</v>
      </c>
      <c r="U156">
        <f t="shared" si="96"/>
        <v>0</v>
      </c>
      <c r="V156">
        <f t="shared" si="97"/>
        <v>0</v>
      </c>
      <c r="W156">
        <f t="shared" si="98"/>
        <v>0</v>
      </c>
      <c r="X156">
        <f t="shared" si="99"/>
        <v>0</v>
      </c>
      <c r="Y156">
        <f t="shared" si="100"/>
        <v>0</v>
      </c>
      <c r="AA156">
        <v>42253831</v>
      </c>
      <c r="AB156">
        <f t="shared" si="101"/>
        <v>260.40636</v>
      </c>
      <c r="AC156">
        <f>ROUND(((1705.1/1.18/5.66)*1.02),6)</f>
        <v>260.40636</v>
      </c>
      <c r="AD156">
        <f t="shared" si="103"/>
        <v>0</v>
      </c>
      <c r="AE156">
        <f t="shared" si="104"/>
        <v>0</v>
      </c>
      <c r="AF156">
        <f t="shared" si="105"/>
        <v>0</v>
      </c>
      <c r="AG156">
        <f t="shared" si="106"/>
        <v>0</v>
      </c>
      <c r="AH156">
        <f t="shared" si="107"/>
        <v>0</v>
      </c>
      <c r="AI156">
        <f t="shared" si="108"/>
        <v>0</v>
      </c>
      <c r="AJ156">
        <f t="shared" si="109"/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1</v>
      </c>
      <c r="AW156">
        <v>1</v>
      </c>
      <c r="AZ156">
        <v>1</v>
      </c>
      <c r="BA156">
        <v>1</v>
      </c>
      <c r="BB156">
        <v>1</v>
      </c>
      <c r="BC156">
        <v>5.66</v>
      </c>
      <c r="BH156">
        <v>3</v>
      </c>
      <c r="BI156">
        <v>1</v>
      </c>
      <c r="BM156">
        <v>1100</v>
      </c>
      <c r="BN156">
        <v>0</v>
      </c>
      <c r="BO156" t="s">
        <v>27</v>
      </c>
      <c r="BP156">
        <v>1</v>
      </c>
      <c r="BQ156">
        <v>8</v>
      </c>
      <c r="BR156">
        <v>0</v>
      </c>
      <c r="BS156">
        <v>1</v>
      </c>
      <c r="BT156">
        <v>1</v>
      </c>
      <c r="BU156">
        <v>1</v>
      </c>
      <c r="BV156">
        <v>1</v>
      </c>
      <c r="BW156">
        <v>1</v>
      </c>
      <c r="BX156">
        <v>1</v>
      </c>
      <c r="BZ156">
        <v>0</v>
      </c>
      <c r="CA156">
        <v>0</v>
      </c>
      <c r="CF156">
        <v>0</v>
      </c>
      <c r="CG156">
        <v>0</v>
      </c>
      <c r="CM156">
        <v>0</v>
      </c>
      <c r="CO156">
        <v>0</v>
      </c>
      <c r="CP156">
        <f t="shared" si="110"/>
        <v>16212.9</v>
      </c>
      <c r="CQ156">
        <f t="shared" si="111"/>
        <v>1473.8999976</v>
      </c>
      <c r="CR156">
        <f t="shared" si="112"/>
        <v>0</v>
      </c>
      <c r="CS156">
        <f t="shared" si="113"/>
        <v>0</v>
      </c>
      <c r="CT156">
        <f t="shared" si="114"/>
        <v>0</v>
      </c>
      <c r="CU156">
        <f t="shared" si="115"/>
        <v>0</v>
      </c>
      <c r="CV156">
        <f t="shared" si="116"/>
        <v>0</v>
      </c>
      <c r="CW156">
        <f t="shared" si="117"/>
        <v>0</v>
      </c>
      <c r="CX156">
        <f t="shared" si="118"/>
        <v>0</v>
      </c>
      <c r="CY156">
        <f t="shared" si="119"/>
        <v>0</v>
      </c>
      <c r="CZ156">
        <f t="shared" si="120"/>
        <v>0</v>
      </c>
      <c r="DD156" t="s">
        <v>205</v>
      </c>
      <c r="DN156">
        <v>0</v>
      </c>
      <c r="DO156">
        <v>0</v>
      </c>
      <c r="DP156">
        <v>1</v>
      </c>
      <c r="DQ156">
        <v>1</v>
      </c>
      <c r="DU156">
        <v>1010</v>
      </c>
      <c r="DV156" t="s">
        <v>160</v>
      </c>
      <c r="DW156" t="s">
        <v>162</v>
      </c>
      <c r="DX156">
        <v>1</v>
      </c>
      <c r="EE156">
        <v>39125556</v>
      </c>
      <c r="EF156">
        <v>8</v>
      </c>
      <c r="EG156" t="s">
        <v>142</v>
      </c>
      <c r="EH156">
        <v>0</v>
      </c>
      <c r="EJ156">
        <v>1</v>
      </c>
      <c r="EK156">
        <v>1100</v>
      </c>
      <c r="EL156" t="s">
        <v>163</v>
      </c>
      <c r="EM156" t="s">
        <v>164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FQ156">
        <v>0</v>
      </c>
      <c r="FR156">
        <f t="shared" si="121"/>
        <v>0</v>
      </c>
      <c r="FS156">
        <v>0</v>
      </c>
      <c r="FX156">
        <v>0</v>
      </c>
      <c r="FY156">
        <v>0</v>
      </c>
      <c r="GD156">
        <v>0</v>
      </c>
      <c r="GF156">
        <v>40907843</v>
      </c>
      <c r="GG156">
        <v>2</v>
      </c>
      <c r="GH156">
        <v>0</v>
      </c>
      <c r="GI156">
        <v>4</v>
      </c>
      <c r="GJ156">
        <v>0</v>
      </c>
      <c r="GK156">
        <f>ROUND(R156*(R12)/100,1)</f>
        <v>0</v>
      </c>
      <c r="GL156">
        <f t="shared" si="122"/>
        <v>0</v>
      </c>
      <c r="GM156">
        <f t="shared" si="123"/>
        <v>16212.9</v>
      </c>
      <c r="GN156">
        <f t="shared" si="124"/>
        <v>16212.9</v>
      </c>
      <c r="GO156">
        <f t="shared" si="125"/>
        <v>0</v>
      </c>
      <c r="GP156">
        <f t="shared" si="126"/>
        <v>0</v>
      </c>
      <c r="GR156">
        <v>0</v>
      </c>
      <c r="GS156">
        <v>3</v>
      </c>
      <c r="GT156">
        <v>0</v>
      </c>
      <c r="GV156">
        <f t="shared" si="127"/>
        <v>0</v>
      </c>
      <c r="GW156">
        <v>1</v>
      </c>
      <c r="GX156">
        <f t="shared" si="128"/>
        <v>0</v>
      </c>
      <c r="HA156">
        <v>0</v>
      </c>
      <c r="HB156">
        <v>0</v>
      </c>
      <c r="IK156">
        <v>0</v>
      </c>
    </row>
    <row r="157" spans="1:245" ht="12.75">
      <c r="A157">
        <v>18</v>
      </c>
      <c r="B157">
        <v>1</v>
      </c>
      <c r="C157">
        <v>70</v>
      </c>
      <c r="E157" t="s">
        <v>206</v>
      </c>
      <c r="F157" t="s">
        <v>158</v>
      </c>
      <c r="G157" t="s">
        <v>207</v>
      </c>
      <c r="H157" t="s">
        <v>160</v>
      </c>
      <c r="I157">
        <f>I154*J157</f>
        <v>11</v>
      </c>
      <c r="J157">
        <v>50</v>
      </c>
      <c r="O157">
        <f t="shared" si="90"/>
        <v>12555.2</v>
      </c>
      <c r="P157">
        <f t="shared" si="91"/>
        <v>12555.2</v>
      </c>
      <c r="Q157">
        <f t="shared" si="92"/>
        <v>0</v>
      </c>
      <c r="R157">
        <f t="shared" si="93"/>
        <v>0</v>
      </c>
      <c r="S157">
        <f t="shared" si="94"/>
        <v>0</v>
      </c>
      <c r="T157">
        <f t="shared" si="95"/>
        <v>0</v>
      </c>
      <c r="U157">
        <f t="shared" si="96"/>
        <v>0</v>
      </c>
      <c r="V157">
        <f t="shared" si="97"/>
        <v>0</v>
      </c>
      <c r="W157">
        <f t="shared" si="98"/>
        <v>0</v>
      </c>
      <c r="X157">
        <f t="shared" si="99"/>
        <v>0</v>
      </c>
      <c r="Y157">
        <f t="shared" si="100"/>
        <v>0</v>
      </c>
      <c r="AA157">
        <v>42253831</v>
      </c>
      <c r="AB157">
        <f t="shared" si="101"/>
        <v>201.657244</v>
      </c>
      <c r="AC157">
        <f>ROUND(((1320.42/1.18/5.66)*1.02),6)</f>
        <v>201.657244</v>
      </c>
      <c r="AD157">
        <f t="shared" si="103"/>
        <v>0</v>
      </c>
      <c r="AE157">
        <f t="shared" si="104"/>
        <v>0</v>
      </c>
      <c r="AF157">
        <f t="shared" si="105"/>
        <v>0</v>
      </c>
      <c r="AG157">
        <f t="shared" si="106"/>
        <v>0</v>
      </c>
      <c r="AH157">
        <f t="shared" si="107"/>
        <v>0</v>
      </c>
      <c r="AI157">
        <f t="shared" si="108"/>
        <v>0</v>
      </c>
      <c r="AJ157">
        <f t="shared" si="109"/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5.66</v>
      </c>
      <c r="BH157">
        <v>3</v>
      </c>
      <c r="BI157">
        <v>1</v>
      </c>
      <c r="BM157">
        <v>1100</v>
      </c>
      <c r="BN157">
        <v>0</v>
      </c>
      <c r="BO157" t="s">
        <v>27</v>
      </c>
      <c r="BP157">
        <v>1</v>
      </c>
      <c r="BQ157">
        <v>8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Z157">
        <v>0</v>
      </c>
      <c r="CA157">
        <v>0</v>
      </c>
      <c r="CF157">
        <v>0</v>
      </c>
      <c r="CG157">
        <v>0</v>
      </c>
      <c r="CM157">
        <v>0</v>
      </c>
      <c r="CO157">
        <v>0</v>
      </c>
      <c r="CP157">
        <f t="shared" si="110"/>
        <v>12555.2</v>
      </c>
      <c r="CQ157">
        <f t="shared" si="111"/>
        <v>1141.38000104</v>
      </c>
      <c r="CR157">
        <f t="shared" si="112"/>
        <v>0</v>
      </c>
      <c r="CS157">
        <f t="shared" si="113"/>
        <v>0</v>
      </c>
      <c r="CT157">
        <f t="shared" si="114"/>
        <v>0</v>
      </c>
      <c r="CU157">
        <f t="shared" si="115"/>
        <v>0</v>
      </c>
      <c r="CV157">
        <f t="shared" si="116"/>
        <v>0</v>
      </c>
      <c r="CW157">
        <f t="shared" si="117"/>
        <v>0</v>
      </c>
      <c r="CX157">
        <f t="shared" si="118"/>
        <v>0</v>
      </c>
      <c r="CY157">
        <f t="shared" si="119"/>
        <v>0</v>
      </c>
      <c r="CZ157">
        <f t="shared" si="120"/>
        <v>0</v>
      </c>
      <c r="DD157" t="s">
        <v>208</v>
      </c>
      <c r="DN157">
        <v>0</v>
      </c>
      <c r="DO157">
        <v>0</v>
      </c>
      <c r="DP157">
        <v>1</v>
      </c>
      <c r="DQ157">
        <v>1</v>
      </c>
      <c r="DU157">
        <v>1010</v>
      </c>
      <c r="DV157" t="s">
        <v>160</v>
      </c>
      <c r="DW157" t="s">
        <v>162</v>
      </c>
      <c r="DX157">
        <v>1</v>
      </c>
      <c r="EE157">
        <v>39125556</v>
      </c>
      <c r="EF157">
        <v>8</v>
      </c>
      <c r="EG157" t="s">
        <v>142</v>
      </c>
      <c r="EH157">
        <v>0</v>
      </c>
      <c r="EJ157">
        <v>1</v>
      </c>
      <c r="EK157">
        <v>1100</v>
      </c>
      <c r="EL157" t="s">
        <v>163</v>
      </c>
      <c r="EM157" t="s">
        <v>164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FQ157">
        <v>0</v>
      </c>
      <c r="FR157">
        <f t="shared" si="121"/>
        <v>0</v>
      </c>
      <c r="FS157">
        <v>0</v>
      </c>
      <c r="FX157">
        <v>0</v>
      </c>
      <c r="FY157">
        <v>0</v>
      </c>
      <c r="GD157">
        <v>0</v>
      </c>
      <c r="GF157">
        <v>112270491</v>
      </c>
      <c r="GG157">
        <v>2</v>
      </c>
      <c r="GH157">
        <v>0</v>
      </c>
      <c r="GI157">
        <v>4</v>
      </c>
      <c r="GJ157">
        <v>0</v>
      </c>
      <c r="GK157">
        <f>ROUND(R157*(R12)/100,1)</f>
        <v>0</v>
      </c>
      <c r="GL157">
        <f t="shared" si="122"/>
        <v>0</v>
      </c>
      <c r="GM157">
        <f t="shared" si="123"/>
        <v>12555.2</v>
      </c>
      <c r="GN157">
        <f t="shared" si="124"/>
        <v>12555.2</v>
      </c>
      <c r="GO157">
        <f t="shared" si="125"/>
        <v>0</v>
      </c>
      <c r="GP157">
        <f t="shared" si="126"/>
        <v>0</v>
      </c>
      <c r="GR157">
        <v>0</v>
      </c>
      <c r="GS157">
        <v>3</v>
      </c>
      <c r="GT157">
        <v>0</v>
      </c>
      <c r="GV157">
        <f t="shared" si="127"/>
        <v>0</v>
      </c>
      <c r="GW157">
        <v>1</v>
      </c>
      <c r="GX157">
        <f t="shared" si="128"/>
        <v>0</v>
      </c>
      <c r="HA157">
        <v>0</v>
      </c>
      <c r="HB157">
        <v>0</v>
      </c>
      <c r="IK157">
        <v>0</v>
      </c>
    </row>
    <row r="158" spans="1:245" ht="12.75">
      <c r="A158">
        <v>17</v>
      </c>
      <c r="B158">
        <v>1</v>
      </c>
      <c r="C158">
        <f>ROW(SmtRes!A78)</f>
        <v>78</v>
      </c>
      <c r="D158">
        <f>ROW(EtalonRes!A75)</f>
        <v>75</v>
      </c>
      <c r="E158" t="s">
        <v>209</v>
      </c>
      <c r="F158" t="s">
        <v>210</v>
      </c>
      <c r="G158" t="s">
        <v>211</v>
      </c>
      <c r="H158" t="s">
        <v>198</v>
      </c>
      <c r="I158">
        <f>ROUND(0.24,3)</f>
        <v>0.24</v>
      </c>
      <c r="J158">
        <v>0</v>
      </c>
      <c r="O158">
        <f t="shared" si="90"/>
        <v>9048.6</v>
      </c>
      <c r="P158">
        <f t="shared" si="91"/>
        <v>1165.1</v>
      </c>
      <c r="Q158">
        <f t="shared" si="92"/>
        <v>4779</v>
      </c>
      <c r="R158">
        <f t="shared" si="93"/>
        <v>1898.8</v>
      </c>
      <c r="S158">
        <f t="shared" si="94"/>
        <v>3104.5</v>
      </c>
      <c r="T158">
        <f t="shared" si="95"/>
        <v>0</v>
      </c>
      <c r="U158">
        <f t="shared" si="96"/>
        <v>17.796</v>
      </c>
      <c r="V158">
        <f t="shared" si="97"/>
        <v>7.2456</v>
      </c>
      <c r="W158">
        <f t="shared" si="98"/>
        <v>0</v>
      </c>
      <c r="X158">
        <f t="shared" si="99"/>
        <v>6604.4</v>
      </c>
      <c r="Y158">
        <f t="shared" si="100"/>
        <v>4002.6</v>
      </c>
      <c r="AA158">
        <v>42253831</v>
      </c>
      <c r="AB158">
        <f t="shared" si="101"/>
        <v>4306.39</v>
      </c>
      <c r="AC158">
        <f>ROUND((ES158),6)</f>
        <v>857.67</v>
      </c>
      <c r="AD158">
        <f t="shared" si="103"/>
        <v>2800.65</v>
      </c>
      <c r="AE158">
        <f t="shared" si="104"/>
        <v>396.37</v>
      </c>
      <c r="AF158">
        <f t="shared" si="105"/>
        <v>648.07</v>
      </c>
      <c r="AG158">
        <f t="shared" si="106"/>
        <v>0</v>
      </c>
      <c r="AH158">
        <f t="shared" si="107"/>
        <v>74.15</v>
      </c>
      <c r="AI158">
        <f t="shared" si="108"/>
        <v>30.19</v>
      </c>
      <c r="AJ158">
        <f t="shared" si="109"/>
        <v>0</v>
      </c>
      <c r="AK158">
        <v>4306.39</v>
      </c>
      <c r="AL158">
        <v>857.67</v>
      </c>
      <c r="AM158">
        <v>2800.65</v>
      </c>
      <c r="AN158">
        <v>396.37</v>
      </c>
      <c r="AO158">
        <v>648.07</v>
      </c>
      <c r="AP158">
        <v>0</v>
      </c>
      <c r="AQ158">
        <v>74.15</v>
      </c>
      <c r="AR158">
        <v>30.19</v>
      </c>
      <c r="AS158">
        <v>0</v>
      </c>
      <c r="AT158">
        <v>132</v>
      </c>
      <c r="AU158">
        <v>80</v>
      </c>
      <c r="AV158">
        <v>1</v>
      </c>
      <c r="AW158">
        <v>1</v>
      </c>
      <c r="AZ158">
        <v>1</v>
      </c>
      <c r="BA158">
        <v>19.96</v>
      </c>
      <c r="BB158">
        <v>7.11</v>
      </c>
      <c r="BC158">
        <v>5.66</v>
      </c>
      <c r="BH158">
        <v>0</v>
      </c>
      <c r="BI158">
        <v>1</v>
      </c>
      <c r="BJ158" t="s">
        <v>212</v>
      </c>
      <c r="BM158">
        <v>7005</v>
      </c>
      <c r="BN158">
        <v>0</v>
      </c>
      <c r="BO158" t="s">
        <v>27</v>
      </c>
      <c r="BP158">
        <v>1</v>
      </c>
      <c r="BQ158">
        <v>2</v>
      </c>
      <c r="BR158">
        <v>0</v>
      </c>
      <c r="BS158">
        <v>19.96</v>
      </c>
      <c r="BT158">
        <v>1</v>
      </c>
      <c r="BU158">
        <v>1</v>
      </c>
      <c r="BV158">
        <v>1</v>
      </c>
      <c r="BW158">
        <v>1</v>
      </c>
      <c r="BX158">
        <v>1</v>
      </c>
      <c r="BZ158">
        <v>155</v>
      </c>
      <c r="CA158">
        <v>100</v>
      </c>
      <c r="CF158">
        <v>0</v>
      </c>
      <c r="CG158">
        <v>0</v>
      </c>
      <c r="CM158">
        <v>0</v>
      </c>
      <c r="CO158">
        <v>0</v>
      </c>
      <c r="CP158">
        <f t="shared" si="110"/>
        <v>9048.6</v>
      </c>
      <c r="CQ158">
        <f t="shared" si="111"/>
        <v>4854.4122</v>
      </c>
      <c r="CR158">
        <f t="shared" si="112"/>
        <v>19912.6215</v>
      </c>
      <c r="CS158">
        <f t="shared" si="113"/>
        <v>7911.5452000000005</v>
      </c>
      <c r="CT158">
        <f t="shared" si="114"/>
        <v>12935.477200000001</v>
      </c>
      <c r="CU158">
        <f t="shared" si="115"/>
        <v>0</v>
      </c>
      <c r="CV158">
        <f t="shared" si="116"/>
        <v>74.15</v>
      </c>
      <c r="CW158">
        <f t="shared" si="117"/>
        <v>30.19</v>
      </c>
      <c r="CX158">
        <f t="shared" si="118"/>
        <v>0</v>
      </c>
      <c r="CY158">
        <f t="shared" si="119"/>
        <v>6604.356</v>
      </c>
      <c r="CZ158">
        <f t="shared" si="120"/>
        <v>4002.64</v>
      </c>
      <c r="DN158">
        <v>0</v>
      </c>
      <c r="DO158">
        <v>0</v>
      </c>
      <c r="DP158">
        <v>1</v>
      </c>
      <c r="DQ158">
        <v>1</v>
      </c>
      <c r="DU158">
        <v>1013</v>
      </c>
      <c r="DV158" t="s">
        <v>198</v>
      </c>
      <c r="DW158" t="s">
        <v>198</v>
      </c>
      <c r="DX158">
        <v>1</v>
      </c>
      <c r="EE158">
        <v>39125325</v>
      </c>
      <c r="EF158">
        <v>2</v>
      </c>
      <c r="EG158" t="s">
        <v>28</v>
      </c>
      <c r="EH158">
        <v>0</v>
      </c>
      <c r="EJ158">
        <v>1</v>
      </c>
      <c r="EK158">
        <v>7005</v>
      </c>
      <c r="EL158" t="s">
        <v>200</v>
      </c>
      <c r="EM158" t="s">
        <v>201</v>
      </c>
      <c r="EQ158">
        <v>0</v>
      </c>
      <c r="ER158">
        <v>4306.39</v>
      </c>
      <c r="ES158">
        <v>857.67</v>
      </c>
      <c r="ET158">
        <v>2800.65</v>
      </c>
      <c r="EU158">
        <v>396.37</v>
      </c>
      <c r="EV158">
        <v>648.07</v>
      </c>
      <c r="EW158">
        <v>74.15</v>
      </c>
      <c r="EX158">
        <v>30.19</v>
      </c>
      <c r="EY158">
        <v>0</v>
      </c>
      <c r="FQ158">
        <v>0</v>
      </c>
      <c r="FR158">
        <f t="shared" si="121"/>
        <v>0</v>
      </c>
      <c r="FS158">
        <v>0</v>
      </c>
      <c r="FV158" t="s">
        <v>31</v>
      </c>
      <c r="FW158" t="s">
        <v>32</v>
      </c>
      <c r="FX158">
        <v>155</v>
      </c>
      <c r="FY158">
        <v>100</v>
      </c>
      <c r="GD158">
        <v>0</v>
      </c>
      <c r="GF158">
        <v>-1078029098</v>
      </c>
      <c r="GG158">
        <v>2</v>
      </c>
      <c r="GH158">
        <v>1</v>
      </c>
      <c r="GI158">
        <v>4</v>
      </c>
      <c r="GJ158">
        <v>0</v>
      </c>
      <c r="GK158">
        <f>ROUND(R158*(R12)/100,1)</f>
        <v>0</v>
      </c>
      <c r="GL158">
        <f t="shared" si="122"/>
        <v>0</v>
      </c>
      <c r="GM158">
        <f t="shared" si="123"/>
        <v>19655.6</v>
      </c>
      <c r="GN158">
        <f t="shared" si="124"/>
        <v>19655.6</v>
      </c>
      <c r="GO158">
        <f t="shared" si="125"/>
        <v>0</v>
      </c>
      <c r="GP158">
        <f t="shared" si="126"/>
        <v>0</v>
      </c>
      <c r="GR158">
        <v>0</v>
      </c>
      <c r="GS158">
        <v>3</v>
      </c>
      <c r="GT158">
        <v>0</v>
      </c>
      <c r="GV158">
        <f t="shared" si="127"/>
        <v>0</v>
      </c>
      <c r="GW158">
        <v>19.96</v>
      </c>
      <c r="GX158">
        <f t="shared" si="128"/>
        <v>0</v>
      </c>
      <c r="HA158">
        <v>0</v>
      </c>
      <c r="HB158">
        <v>0</v>
      </c>
      <c r="IK158">
        <v>0</v>
      </c>
    </row>
    <row r="159" spans="1:245" ht="12.75">
      <c r="A159">
        <v>18</v>
      </c>
      <c r="B159">
        <v>1</v>
      </c>
      <c r="C159">
        <v>76</v>
      </c>
      <c r="E159" t="s">
        <v>213</v>
      </c>
      <c r="F159" t="s">
        <v>192</v>
      </c>
      <c r="G159" t="s">
        <v>193</v>
      </c>
      <c r="H159" t="s">
        <v>140</v>
      </c>
      <c r="I159">
        <f>I158*J159</f>
        <v>0.1704</v>
      </c>
      <c r="J159">
        <v>0.71</v>
      </c>
      <c r="O159">
        <f t="shared" si="90"/>
        <v>641.4</v>
      </c>
      <c r="P159">
        <f t="shared" si="91"/>
        <v>641.4</v>
      </c>
      <c r="Q159">
        <f t="shared" si="92"/>
        <v>0</v>
      </c>
      <c r="R159">
        <f t="shared" si="93"/>
        <v>0</v>
      </c>
      <c r="S159">
        <f t="shared" si="94"/>
        <v>0</v>
      </c>
      <c r="T159">
        <f t="shared" si="95"/>
        <v>0</v>
      </c>
      <c r="U159">
        <f t="shared" si="96"/>
        <v>0</v>
      </c>
      <c r="V159">
        <f t="shared" si="97"/>
        <v>0</v>
      </c>
      <c r="W159">
        <f t="shared" si="98"/>
        <v>0</v>
      </c>
      <c r="X159">
        <f t="shared" si="99"/>
        <v>0</v>
      </c>
      <c r="Y159">
        <f t="shared" si="100"/>
        <v>0</v>
      </c>
      <c r="AA159">
        <v>42253831</v>
      </c>
      <c r="AB159">
        <f t="shared" si="101"/>
        <v>665</v>
      </c>
      <c r="AC159">
        <f>ROUND((ES159),6)</f>
        <v>665</v>
      </c>
      <c r="AD159">
        <f t="shared" si="103"/>
        <v>0</v>
      </c>
      <c r="AE159">
        <f t="shared" si="104"/>
        <v>0</v>
      </c>
      <c r="AF159">
        <f t="shared" si="105"/>
        <v>0</v>
      </c>
      <c r="AG159">
        <f t="shared" si="106"/>
        <v>0</v>
      </c>
      <c r="AH159">
        <f t="shared" si="107"/>
        <v>0</v>
      </c>
      <c r="AI159">
        <f t="shared" si="108"/>
        <v>0</v>
      </c>
      <c r="AJ159">
        <f t="shared" si="109"/>
        <v>0</v>
      </c>
      <c r="AK159">
        <v>665</v>
      </c>
      <c r="AL159">
        <v>665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89</v>
      </c>
      <c r="AU159">
        <v>52</v>
      </c>
      <c r="AV159">
        <v>1</v>
      </c>
      <c r="AW159">
        <v>1</v>
      </c>
      <c r="AZ159">
        <v>1</v>
      </c>
      <c r="BA159">
        <v>1</v>
      </c>
      <c r="BB159">
        <v>1</v>
      </c>
      <c r="BC159">
        <v>5.66</v>
      </c>
      <c r="BH159">
        <v>3</v>
      </c>
      <c r="BI159">
        <v>1</v>
      </c>
      <c r="BJ159" t="s">
        <v>194</v>
      </c>
      <c r="BM159">
        <v>6001</v>
      </c>
      <c r="BN159">
        <v>0</v>
      </c>
      <c r="BO159" t="s">
        <v>27</v>
      </c>
      <c r="BP159">
        <v>1</v>
      </c>
      <c r="BQ159">
        <v>2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Z159">
        <v>105</v>
      </c>
      <c r="CA159">
        <v>65</v>
      </c>
      <c r="CF159">
        <v>0</v>
      </c>
      <c r="CG159">
        <v>0</v>
      </c>
      <c r="CM159">
        <v>0</v>
      </c>
      <c r="CO159">
        <v>0</v>
      </c>
      <c r="CP159">
        <f t="shared" si="110"/>
        <v>641.4</v>
      </c>
      <c r="CQ159">
        <f t="shared" si="111"/>
        <v>3763.9</v>
      </c>
      <c r="CR159">
        <f t="shared" si="112"/>
        <v>0</v>
      </c>
      <c r="CS159">
        <f t="shared" si="113"/>
        <v>0</v>
      </c>
      <c r="CT159">
        <f t="shared" si="114"/>
        <v>0</v>
      </c>
      <c r="CU159">
        <f t="shared" si="115"/>
        <v>0</v>
      </c>
      <c r="CV159">
        <f t="shared" si="116"/>
        <v>0</v>
      </c>
      <c r="CW159">
        <f t="shared" si="117"/>
        <v>0</v>
      </c>
      <c r="CX159">
        <f t="shared" si="118"/>
        <v>0</v>
      </c>
      <c r="CY159">
        <f t="shared" si="119"/>
        <v>0</v>
      </c>
      <c r="CZ159">
        <f t="shared" si="120"/>
        <v>0</v>
      </c>
      <c r="DN159">
        <v>0</v>
      </c>
      <c r="DO159">
        <v>0</v>
      </c>
      <c r="DP159">
        <v>1</v>
      </c>
      <c r="DQ159">
        <v>1</v>
      </c>
      <c r="DU159">
        <v>1007</v>
      </c>
      <c r="DV159" t="s">
        <v>140</v>
      </c>
      <c r="DW159" t="s">
        <v>140</v>
      </c>
      <c r="DX159">
        <v>1</v>
      </c>
      <c r="EE159">
        <v>39125360</v>
      </c>
      <c r="EF159">
        <v>2</v>
      </c>
      <c r="EG159" t="s">
        <v>28</v>
      </c>
      <c r="EH159">
        <v>0</v>
      </c>
      <c r="EJ159">
        <v>1</v>
      </c>
      <c r="EK159">
        <v>6001</v>
      </c>
      <c r="EL159" t="s">
        <v>189</v>
      </c>
      <c r="EM159" t="s">
        <v>190</v>
      </c>
      <c r="EQ159">
        <v>0</v>
      </c>
      <c r="ER159">
        <v>665</v>
      </c>
      <c r="ES159">
        <v>665</v>
      </c>
      <c r="ET159">
        <v>0</v>
      </c>
      <c r="EU159">
        <v>0</v>
      </c>
      <c r="EV159">
        <v>0</v>
      </c>
      <c r="EW159">
        <v>0</v>
      </c>
      <c r="EX159">
        <v>0</v>
      </c>
      <c r="FQ159">
        <v>0</v>
      </c>
      <c r="FR159">
        <f t="shared" si="121"/>
        <v>0</v>
      </c>
      <c r="FS159">
        <v>0</v>
      </c>
      <c r="FV159" t="s">
        <v>31</v>
      </c>
      <c r="FW159" t="s">
        <v>32</v>
      </c>
      <c r="FX159">
        <v>105</v>
      </c>
      <c r="FY159">
        <v>65</v>
      </c>
      <c r="GD159">
        <v>0</v>
      </c>
      <c r="GF159">
        <v>-481738122</v>
      </c>
      <c r="GG159">
        <v>2</v>
      </c>
      <c r="GH159">
        <v>1</v>
      </c>
      <c r="GI159">
        <v>4</v>
      </c>
      <c r="GJ159">
        <v>0</v>
      </c>
      <c r="GK159">
        <f>ROUND(R159*(R12)/100,1)</f>
        <v>0</v>
      </c>
      <c r="GL159">
        <f t="shared" si="122"/>
        <v>0</v>
      </c>
      <c r="GM159">
        <f t="shared" si="123"/>
        <v>641.4</v>
      </c>
      <c r="GN159">
        <f t="shared" si="124"/>
        <v>641.4</v>
      </c>
      <c r="GO159">
        <f t="shared" si="125"/>
        <v>0</v>
      </c>
      <c r="GP159">
        <f t="shared" si="126"/>
        <v>0</v>
      </c>
      <c r="GR159">
        <v>0</v>
      </c>
      <c r="GS159">
        <v>3</v>
      </c>
      <c r="GT159">
        <v>0</v>
      </c>
      <c r="GV159">
        <f t="shared" si="127"/>
        <v>0</v>
      </c>
      <c r="GW159">
        <v>1</v>
      </c>
      <c r="GX159">
        <f t="shared" si="128"/>
        <v>0</v>
      </c>
      <c r="HA159">
        <v>0</v>
      </c>
      <c r="HB159">
        <v>0</v>
      </c>
      <c r="IK159">
        <v>0</v>
      </c>
    </row>
    <row r="160" spans="1:245" ht="12.75">
      <c r="A160">
        <v>18</v>
      </c>
      <c r="B160">
        <v>1</v>
      </c>
      <c r="C160">
        <v>78</v>
      </c>
      <c r="E160" t="s">
        <v>214</v>
      </c>
      <c r="F160" t="s">
        <v>158</v>
      </c>
      <c r="G160" t="s">
        <v>215</v>
      </c>
      <c r="H160" t="s">
        <v>160</v>
      </c>
      <c r="I160">
        <f>I158*J160</f>
        <v>24</v>
      </c>
      <c r="J160">
        <v>100</v>
      </c>
      <c r="O160">
        <f t="shared" si="90"/>
        <v>47931.8</v>
      </c>
      <c r="P160">
        <f t="shared" si="91"/>
        <v>47931.8</v>
      </c>
      <c r="Q160">
        <f t="shared" si="92"/>
        <v>0</v>
      </c>
      <c r="R160">
        <f t="shared" si="93"/>
        <v>0</v>
      </c>
      <c r="S160">
        <f t="shared" si="94"/>
        <v>0</v>
      </c>
      <c r="T160">
        <f t="shared" si="95"/>
        <v>0</v>
      </c>
      <c r="U160">
        <f t="shared" si="96"/>
        <v>0</v>
      </c>
      <c r="V160">
        <f t="shared" si="97"/>
        <v>0</v>
      </c>
      <c r="W160">
        <f t="shared" si="98"/>
        <v>0</v>
      </c>
      <c r="X160">
        <f t="shared" si="99"/>
        <v>0</v>
      </c>
      <c r="Y160">
        <f t="shared" si="100"/>
        <v>0</v>
      </c>
      <c r="AA160">
        <v>42253831</v>
      </c>
      <c r="AB160">
        <f t="shared" si="101"/>
        <v>352.855124</v>
      </c>
      <c r="AC160">
        <f>ROUND(((2310.44/1.18/5.66)*1.02),6)</f>
        <v>352.855124</v>
      </c>
      <c r="AD160">
        <f t="shared" si="103"/>
        <v>0</v>
      </c>
      <c r="AE160">
        <f t="shared" si="104"/>
        <v>0</v>
      </c>
      <c r="AF160">
        <f t="shared" si="105"/>
        <v>0</v>
      </c>
      <c r="AG160">
        <f t="shared" si="106"/>
        <v>0</v>
      </c>
      <c r="AH160">
        <f t="shared" si="107"/>
        <v>0</v>
      </c>
      <c r="AI160">
        <f t="shared" si="108"/>
        <v>0</v>
      </c>
      <c r="AJ160">
        <f t="shared" si="109"/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1</v>
      </c>
      <c r="AW160">
        <v>1</v>
      </c>
      <c r="AZ160">
        <v>1</v>
      </c>
      <c r="BA160">
        <v>1</v>
      </c>
      <c r="BB160">
        <v>1</v>
      </c>
      <c r="BC160">
        <v>5.66</v>
      </c>
      <c r="BH160">
        <v>3</v>
      </c>
      <c r="BI160">
        <v>1</v>
      </c>
      <c r="BM160">
        <v>1100</v>
      </c>
      <c r="BN160">
        <v>0</v>
      </c>
      <c r="BO160" t="s">
        <v>27</v>
      </c>
      <c r="BP160">
        <v>1</v>
      </c>
      <c r="BQ160">
        <v>8</v>
      </c>
      <c r="BR160">
        <v>0</v>
      </c>
      <c r="BS160">
        <v>1</v>
      </c>
      <c r="BT160">
        <v>1</v>
      </c>
      <c r="BU160">
        <v>1</v>
      </c>
      <c r="BV160">
        <v>1</v>
      </c>
      <c r="BW160">
        <v>1</v>
      </c>
      <c r="BX160">
        <v>1</v>
      </c>
      <c r="BZ160">
        <v>0</v>
      </c>
      <c r="CA160">
        <v>0</v>
      </c>
      <c r="CF160">
        <v>0</v>
      </c>
      <c r="CG160">
        <v>0</v>
      </c>
      <c r="CM160">
        <v>0</v>
      </c>
      <c r="CO160">
        <v>0</v>
      </c>
      <c r="CP160">
        <f t="shared" si="110"/>
        <v>47931.8</v>
      </c>
      <c r="CQ160">
        <f t="shared" si="111"/>
        <v>1997.16000184</v>
      </c>
      <c r="CR160">
        <f t="shared" si="112"/>
        <v>0</v>
      </c>
      <c r="CS160">
        <f t="shared" si="113"/>
        <v>0</v>
      </c>
      <c r="CT160">
        <f t="shared" si="114"/>
        <v>0</v>
      </c>
      <c r="CU160">
        <f t="shared" si="115"/>
        <v>0</v>
      </c>
      <c r="CV160">
        <f t="shared" si="116"/>
        <v>0</v>
      </c>
      <c r="CW160">
        <f t="shared" si="117"/>
        <v>0</v>
      </c>
      <c r="CX160">
        <f t="shared" si="118"/>
        <v>0</v>
      </c>
      <c r="CY160">
        <f t="shared" si="119"/>
        <v>0</v>
      </c>
      <c r="CZ160">
        <f t="shared" si="120"/>
        <v>0</v>
      </c>
      <c r="DD160" t="s">
        <v>216</v>
      </c>
      <c r="DN160">
        <v>0</v>
      </c>
      <c r="DO160">
        <v>0</v>
      </c>
      <c r="DP160">
        <v>1</v>
      </c>
      <c r="DQ160">
        <v>1</v>
      </c>
      <c r="DU160">
        <v>1010</v>
      </c>
      <c r="DV160" t="s">
        <v>160</v>
      </c>
      <c r="DW160" t="s">
        <v>162</v>
      </c>
      <c r="DX160">
        <v>1</v>
      </c>
      <c r="EE160">
        <v>39125556</v>
      </c>
      <c r="EF160">
        <v>8</v>
      </c>
      <c r="EG160" t="s">
        <v>142</v>
      </c>
      <c r="EH160">
        <v>0</v>
      </c>
      <c r="EJ160">
        <v>1</v>
      </c>
      <c r="EK160">
        <v>1100</v>
      </c>
      <c r="EL160" t="s">
        <v>163</v>
      </c>
      <c r="EM160" t="s">
        <v>164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FQ160">
        <v>0</v>
      </c>
      <c r="FR160">
        <f t="shared" si="121"/>
        <v>0</v>
      </c>
      <c r="FS160">
        <v>0</v>
      </c>
      <c r="FX160">
        <v>0</v>
      </c>
      <c r="FY160">
        <v>0</v>
      </c>
      <c r="GD160">
        <v>0</v>
      </c>
      <c r="GF160">
        <v>-1074717354</v>
      </c>
      <c r="GG160">
        <v>2</v>
      </c>
      <c r="GH160">
        <v>0</v>
      </c>
      <c r="GI160">
        <v>4</v>
      </c>
      <c r="GJ160">
        <v>0</v>
      </c>
      <c r="GK160">
        <f>ROUND(R160*(R12)/100,1)</f>
        <v>0</v>
      </c>
      <c r="GL160">
        <f t="shared" si="122"/>
        <v>0</v>
      </c>
      <c r="GM160">
        <f t="shared" si="123"/>
        <v>47931.8</v>
      </c>
      <c r="GN160">
        <f t="shared" si="124"/>
        <v>47931.8</v>
      </c>
      <c r="GO160">
        <f t="shared" si="125"/>
        <v>0</v>
      </c>
      <c r="GP160">
        <f t="shared" si="126"/>
        <v>0</v>
      </c>
      <c r="GR160">
        <v>0</v>
      </c>
      <c r="GS160">
        <v>3</v>
      </c>
      <c r="GT160">
        <v>0</v>
      </c>
      <c r="GV160">
        <f t="shared" si="127"/>
        <v>0</v>
      </c>
      <c r="GW160">
        <v>1</v>
      </c>
      <c r="GX160">
        <f t="shared" si="128"/>
        <v>0</v>
      </c>
      <c r="HA160">
        <v>0</v>
      </c>
      <c r="HB160">
        <v>0</v>
      </c>
      <c r="IK160">
        <v>0</v>
      </c>
    </row>
    <row r="161" spans="1:245" ht="12.75">
      <c r="A161">
        <v>17</v>
      </c>
      <c r="B161">
        <v>1</v>
      </c>
      <c r="C161">
        <f>ROW(SmtRes!A90)</f>
        <v>90</v>
      </c>
      <c r="D161">
        <f>ROW(EtalonRes!A88)</f>
        <v>88</v>
      </c>
      <c r="E161" t="s">
        <v>217</v>
      </c>
      <c r="F161" t="s">
        <v>218</v>
      </c>
      <c r="G161" t="s">
        <v>219</v>
      </c>
      <c r="H161" t="s">
        <v>140</v>
      </c>
      <c r="I161">
        <f>ROUND(0.02,3)</f>
        <v>0.02</v>
      </c>
      <c r="J161">
        <v>0</v>
      </c>
      <c r="O161">
        <f t="shared" si="90"/>
        <v>316.1</v>
      </c>
      <c r="P161">
        <f t="shared" si="91"/>
        <v>67.9</v>
      </c>
      <c r="Q161">
        <f t="shared" si="92"/>
        <v>4.1</v>
      </c>
      <c r="R161">
        <f t="shared" si="93"/>
        <v>2</v>
      </c>
      <c r="S161">
        <f t="shared" si="94"/>
        <v>244.1</v>
      </c>
      <c r="T161">
        <f t="shared" si="95"/>
        <v>0</v>
      </c>
      <c r="U161">
        <f t="shared" si="96"/>
        <v>1.5116</v>
      </c>
      <c r="V161">
        <f t="shared" si="97"/>
        <v>0.0086</v>
      </c>
      <c r="W161">
        <f t="shared" si="98"/>
        <v>0</v>
      </c>
      <c r="X161">
        <f t="shared" si="99"/>
        <v>231.3</v>
      </c>
      <c r="Y161">
        <f t="shared" si="100"/>
        <v>137.8</v>
      </c>
      <c r="AA161">
        <v>42253831</v>
      </c>
      <c r="AB161">
        <f t="shared" si="101"/>
        <v>1239.98</v>
      </c>
      <c r="AC161">
        <f aca="true" t="shared" si="129" ref="AC161:AC171">ROUND((ES161),6)</f>
        <v>599.89</v>
      </c>
      <c r="AD161">
        <f t="shared" si="103"/>
        <v>28.65</v>
      </c>
      <c r="AE161">
        <f t="shared" si="104"/>
        <v>4.99</v>
      </c>
      <c r="AF161">
        <f t="shared" si="105"/>
        <v>611.44</v>
      </c>
      <c r="AG161">
        <f t="shared" si="106"/>
        <v>0</v>
      </c>
      <c r="AH161">
        <f t="shared" si="107"/>
        <v>75.58</v>
      </c>
      <c r="AI161">
        <f t="shared" si="108"/>
        <v>0.43</v>
      </c>
      <c r="AJ161">
        <f t="shared" si="109"/>
        <v>0</v>
      </c>
      <c r="AK161">
        <v>1239.98</v>
      </c>
      <c r="AL161">
        <v>599.89</v>
      </c>
      <c r="AM161">
        <v>28.65</v>
      </c>
      <c r="AN161">
        <v>4.99</v>
      </c>
      <c r="AO161">
        <v>611.44</v>
      </c>
      <c r="AP161">
        <v>0</v>
      </c>
      <c r="AQ161">
        <v>75.58</v>
      </c>
      <c r="AR161">
        <v>0.43</v>
      </c>
      <c r="AS161">
        <v>0</v>
      </c>
      <c r="AT161">
        <v>94</v>
      </c>
      <c r="AU161">
        <v>56</v>
      </c>
      <c r="AV161">
        <v>1</v>
      </c>
      <c r="AW161">
        <v>1</v>
      </c>
      <c r="AZ161">
        <v>1</v>
      </c>
      <c r="BA161">
        <v>19.96</v>
      </c>
      <c r="BB161">
        <v>7.11</v>
      </c>
      <c r="BC161">
        <v>5.66</v>
      </c>
      <c r="BH161">
        <v>0</v>
      </c>
      <c r="BI161">
        <v>1</v>
      </c>
      <c r="BJ161" t="s">
        <v>220</v>
      </c>
      <c r="BM161">
        <v>46001</v>
      </c>
      <c r="BN161">
        <v>0</v>
      </c>
      <c r="BO161" t="s">
        <v>27</v>
      </c>
      <c r="BP161">
        <v>1</v>
      </c>
      <c r="BQ161">
        <v>2</v>
      </c>
      <c r="BR161">
        <v>0</v>
      </c>
      <c r="BS161">
        <v>19.96</v>
      </c>
      <c r="BT161">
        <v>1</v>
      </c>
      <c r="BU161">
        <v>1</v>
      </c>
      <c r="BV161">
        <v>1</v>
      </c>
      <c r="BW161">
        <v>1</v>
      </c>
      <c r="BX161">
        <v>1</v>
      </c>
      <c r="BZ161">
        <v>110</v>
      </c>
      <c r="CA161">
        <v>70</v>
      </c>
      <c r="CF161">
        <v>0</v>
      </c>
      <c r="CG161">
        <v>0</v>
      </c>
      <c r="CM161">
        <v>0</v>
      </c>
      <c r="CO161">
        <v>0</v>
      </c>
      <c r="CP161">
        <f t="shared" si="110"/>
        <v>316.1</v>
      </c>
      <c r="CQ161">
        <f t="shared" si="111"/>
        <v>3395.3774</v>
      </c>
      <c r="CR161">
        <f t="shared" si="112"/>
        <v>203.7015</v>
      </c>
      <c r="CS161">
        <f t="shared" si="113"/>
        <v>99.60040000000001</v>
      </c>
      <c r="CT161">
        <f t="shared" si="114"/>
        <v>12204.342400000001</v>
      </c>
      <c r="CU161">
        <f t="shared" si="115"/>
        <v>0</v>
      </c>
      <c r="CV161">
        <f t="shared" si="116"/>
        <v>75.58</v>
      </c>
      <c r="CW161">
        <f t="shared" si="117"/>
        <v>0.43</v>
      </c>
      <c r="CX161">
        <f t="shared" si="118"/>
        <v>0</v>
      </c>
      <c r="CY161">
        <f t="shared" si="119"/>
        <v>231.33399999999997</v>
      </c>
      <c r="CZ161">
        <f t="shared" si="120"/>
        <v>137.816</v>
      </c>
      <c r="DN161">
        <v>0</v>
      </c>
      <c r="DO161">
        <v>0</v>
      </c>
      <c r="DP161">
        <v>1</v>
      </c>
      <c r="DQ161">
        <v>1</v>
      </c>
      <c r="DU161">
        <v>1007</v>
      </c>
      <c r="DV161" t="s">
        <v>140</v>
      </c>
      <c r="DW161" t="s">
        <v>140</v>
      </c>
      <c r="DX161">
        <v>1</v>
      </c>
      <c r="EE161">
        <v>39125442</v>
      </c>
      <c r="EF161">
        <v>2</v>
      </c>
      <c r="EG161" t="s">
        <v>28</v>
      </c>
      <c r="EH161">
        <v>0</v>
      </c>
      <c r="EJ161">
        <v>1</v>
      </c>
      <c r="EK161">
        <v>46001</v>
      </c>
      <c r="EL161" t="s">
        <v>221</v>
      </c>
      <c r="EM161" t="s">
        <v>222</v>
      </c>
      <c r="EQ161">
        <v>0</v>
      </c>
      <c r="ER161">
        <v>1239.98</v>
      </c>
      <c r="ES161">
        <v>599.89</v>
      </c>
      <c r="ET161">
        <v>28.65</v>
      </c>
      <c r="EU161">
        <v>4.99</v>
      </c>
      <c r="EV161">
        <v>611.44</v>
      </c>
      <c r="EW161">
        <v>75.58</v>
      </c>
      <c r="EX161">
        <v>0.43</v>
      </c>
      <c r="EY161">
        <v>0</v>
      </c>
      <c r="FQ161">
        <v>0</v>
      </c>
      <c r="FR161">
        <f t="shared" si="121"/>
        <v>0</v>
      </c>
      <c r="FS161">
        <v>0</v>
      </c>
      <c r="FV161" t="s">
        <v>31</v>
      </c>
      <c r="FW161" t="s">
        <v>32</v>
      </c>
      <c r="FX161">
        <v>110</v>
      </c>
      <c r="FY161">
        <v>70</v>
      </c>
      <c r="GD161">
        <v>0</v>
      </c>
      <c r="GF161">
        <v>281377325</v>
      </c>
      <c r="GG161">
        <v>2</v>
      </c>
      <c r="GH161">
        <v>1</v>
      </c>
      <c r="GI161">
        <v>4</v>
      </c>
      <c r="GJ161">
        <v>0</v>
      </c>
      <c r="GK161">
        <f>ROUND(R161*(R12)/100,1)</f>
        <v>0</v>
      </c>
      <c r="GL161">
        <f t="shared" si="122"/>
        <v>0</v>
      </c>
      <c r="GM161">
        <f t="shared" si="123"/>
        <v>685.2</v>
      </c>
      <c r="GN161">
        <f t="shared" si="124"/>
        <v>685.2</v>
      </c>
      <c r="GO161">
        <f t="shared" si="125"/>
        <v>0</v>
      </c>
      <c r="GP161">
        <f t="shared" si="126"/>
        <v>0</v>
      </c>
      <c r="GR161">
        <v>0</v>
      </c>
      <c r="GS161">
        <v>3</v>
      </c>
      <c r="GT161">
        <v>0</v>
      </c>
      <c r="GV161">
        <f t="shared" si="127"/>
        <v>0</v>
      </c>
      <c r="GW161">
        <v>19.96</v>
      </c>
      <c r="GX161">
        <f t="shared" si="128"/>
        <v>0</v>
      </c>
      <c r="HA161">
        <v>0</v>
      </c>
      <c r="HB161">
        <v>0</v>
      </c>
      <c r="IK161">
        <v>0</v>
      </c>
    </row>
    <row r="162" spans="1:245" ht="12.75">
      <c r="A162">
        <v>18</v>
      </c>
      <c r="B162">
        <v>1</v>
      </c>
      <c r="C162">
        <v>86</v>
      </c>
      <c r="E162" t="s">
        <v>223</v>
      </c>
      <c r="F162" t="s">
        <v>192</v>
      </c>
      <c r="G162" t="s">
        <v>193</v>
      </c>
      <c r="H162" t="s">
        <v>140</v>
      </c>
      <c r="I162">
        <f>I161*J162</f>
        <v>0.020800000000000003</v>
      </c>
      <c r="J162">
        <v>1.04</v>
      </c>
      <c r="O162">
        <f t="shared" si="90"/>
        <v>78.3</v>
      </c>
      <c r="P162">
        <f t="shared" si="91"/>
        <v>78.3</v>
      </c>
      <c r="Q162">
        <f t="shared" si="92"/>
        <v>0</v>
      </c>
      <c r="R162">
        <f t="shared" si="93"/>
        <v>0</v>
      </c>
      <c r="S162">
        <f t="shared" si="94"/>
        <v>0</v>
      </c>
      <c r="T162">
        <f t="shared" si="95"/>
        <v>0</v>
      </c>
      <c r="U162">
        <f t="shared" si="96"/>
        <v>0</v>
      </c>
      <c r="V162">
        <f t="shared" si="97"/>
        <v>0</v>
      </c>
      <c r="W162">
        <f t="shared" si="98"/>
        <v>0</v>
      </c>
      <c r="X162">
        <f t="shared" si="99"/>
        <v>0</v>
      </c>
      <c r="Y162">
        <f t="shared" si="100"/>
        <v>0</v>
      </c>
      <c r="AA162">
        <v>42253831</v>
      </c>
      <c r="AB162">
        <f t="shared" si="101"/>
        <v>665</v>
      </c>
      <c r="AC162">
        <f t="shared" si="129"/>
        <v>665</v>
      </c>
      <c r="AD162">
        <f t="shared" si="103"/>
        <v>0</v>
      </c>
      <c r="AE162">
        <f t="shared" si="104"/>
        <v>0</v>
      </c>
      <c r="AF162">
        <f t="shared" si="105"/>
        <v>0</v>
      </c>
      <c r="AG162">
        <f t="shared" si="106"/>
        <v>0</v>
      </c>
      <c r="AH162">
        <f t="shared" si="107"/>
        <v>0</v>
      </c>
      <c r="AI162">
        <f t="shared" si="108"/>
        <v>0</v>
      </c>
      <c r="AJ162">
        <f t="shared" si="109"/>
        <v>0</v>
      </c>
      <c r="AK162">
        <v>665</v>
      </c>
      <c r="AL162">
        <v>665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89</v>
      </c>
      <c r="AU162">
        <v>52</v>
      </c>
      <c r="AV162">
        <v>1</v>
      </c>
      <c r="AW162">
        <v>1</v>
      </c>
      <c r="AZ162">
        <v>1</v>
      </c>
      <c r="BA162">
        <v>1</v>
      </c>
      <c r="BB162">
        <v>1</v>
      </c>
      <c r="BC162">
        <v>5.66</v>
      </c>
      <c r="BH162">
        <v>3</v>
      </c>
      <c r="BI162">
        <v>1</v>
      </c>
      <c r="BJ162" t="s">
        <v>194</v>
      </c>
      <c r="BM162">
        <v>6001</v>
      </c>
      <c r="BN162">
        <v>0</v>
      </c>
      <c r="BO162" t="s">
        <v>27</v>
      </c>
      <c r="BP162">
        <v>1</v>
      </c>
      <c r="BQ162">
        <v>2</v>
      </c>
      <c r="BR162">
        <v>0</v>
      </c>
      <c r="BS162">
        <v>1</v>
      </c>
      <c r="BT162">
        <v>1</v>
      </c>
      <c r="BU162">
        <v>1</v>
      </c>
      <c r="BV162">
        <v>1</v>
      </c>
      <c r="BW162">
        <v>1</v>
      </c>
      <c r="BX162">
        <v>1</v>
      </c>
      <c r="BZ162">
        <v>105</v>
      </c>
      <c r="CA162">
        <v>65</v>
      </c>
      <c r="CF162">
        <v>0</v>
      </c>
      <c r="CG162">
        <v>0</v>
      </c>
      <c r="CM162">
        <v>0</v>
      </c>
      <c r="CO162">
        <v>0</v>
      </c>
      <c r="CP162">
        <f t="shared" si="110"/>
        <v>78.3</v>
      </c>
      <c r="CQ162">
        <f t="shared" si="111"/>
        <v>3763.9</v>
      </c>
      <c r="CR162">
        <f t="shared" si="112"/>
        <v>0</v>
      </c>
      <c r="CS162">
        <f t="shared" si="113"/>
        <v>0</v>
      </c>
      <c r="CT162">
        <f t="shared" si="114"/>
        <v>0</v>
      </c>
      <c r="CU162">
        <f t="shared" si="115"/>
        <v>0</v>
      </c>
      <c r="CV162">
        <f t="shared" si="116"/>
        <v>0</v>
      </c>
      <c r="CW162">
        <f t="shared" si="117"/>
        <v>0</v>
      </c>
      <c r="CX162">
        <f t="shared" si="118"/>
        <v>0</v>
      </c>
      <c r="CY162">
        <f t="shared" si="119"/>
        <v>0</v>
      </c>
      <c r="CZ162">
        <f t="shared" si="120"/>
        <v>0</v>
      </c>
      <c r="DN162">
        <v>0</v>
      </c>
      <c r="DO162">
        <v>0</v>
      </c>
      <c r="DP162">
        <v>1</v>
      </c>
      <c r="DQ162">
        <v>1</v>
      </c>
      <c r="DU162">
        <v>1007</v>
      </c>
      <c r="DV162" t="s">
        <v>140</v>
      </c>
      <c r="DW162" t="s">
        <v>140</v>
      </c>
      <c r="DX162">
        <v>1</v>
      </c>
      <c r="EE162">
        <v>39125360</v>
      </c>
      <c r="EF162">
        <v>2</v>
      </c>
      <c r="EG162" t="s">
        <v>28</v>
      </c>
      <c r="EH162">
        <v>0</v>
      </c>
      <c r="EJ162">
        <v>1</v>
      </c>
      <c r="EK162">
        <v>6001</v>
      </c>
      <c r="EL162" t="s">
        <v>189</v>
      </c>
      <c r="EM162" t="s">
        <v>190</v>
      </c>
      <c r="EQ162">
        <v>0</v>
      </c>
      <c r="ER162">
        <v>665</v>
      </c>
      <c r="ES162">
        <v>665</v>
      </c>
      <c r="ET162">
        <v>0</v>
      </c>
      <c r="EU162">
        <v>0</v>
      </c>
      <c r="EV162">
        <v>0</v>
      </c>
      <c r="EW162">
        <v>0</v>
      </c>
      <c r="EX162">
        <v>0</v>
      </c>
      <c r="FQ162">
        <v>0</v>
      </c>
      <c r="FR162">
        <f t="shared" si="121"/>
        <v>0</v>
      </c>
      <c r="FS162">
        <v>0</v>
      </c>
      <c r="FV162" t="s">
        <v>31</v>
      </c>
      <c r="FW162" t="s">
        <v>32</v>
      </c>
      <c r="FX162">
        <v>105</v>
      </c>
      <c r="FY162">
        <v>65</v>
      </c>
      <c r="GD162">
        <v>0</v>
      </c>
      <c r="GF162">
        <v>-481738122</v>
      </c>
      <c r="GG162">
        <v>2</v>
      </c>
      <c r="GH162">
        <v>1</v>
      </c>
      <c r="GI162">
        <v>4</v>
      </c>
      <c r="GJ162">
        <v>0</v>
      </c>
      <c r="GK162">
        <f>ROUND(R162*(R12)/100,1)</f>
        <v>0</v>
      </c>
      <c r="GL162">
        <f t="shared" si="122"/>
        <v>0</v>
      </c>
      <c r="GM162">
        <f t="shared" si="123"/>
        <v>78.3</v>
      </c>
      <c r="GN162">
        <f t="shared" si="124"/>
        <v>78.3</v>
      </c>
      <c r="GO162">
        <f t="shared" si="125"/>
        <v>0</v>
      </c>
      <c r="GP162">
        <f t="shared" si="126"/>
        <v>0</v>
      </c>
      <c r="GR162">
        <v>0</v>
      </c>
      <c r="GS162">
        <v>3</v>
      </c>
      <c r="GT162">
        <v>0</v>
      </c>
      <c r="GV162">
        <f t="shared" si="127"/>
        <v>0</v>
      </c>
      <c r="GW162">
        <v>1</v>
      </c>
      <c r="GX162">
        <f t="shared" si="128"/>
        <v>0</v>
      </c>
      <c r="HA162">
        <v>0</v>
      </c>
      <c r="HB162">
        <v>0</v>
      </c>
      <c r="IK162">
        <v>0</v>
      </c>
    </row>
    <row r="163" spans="1:245" ht="12.75">
      <c r="A163">
        <v>17</v>
      </c>
      <c r="B163">
        <v>1</v>
      </c>
      <c r="C163">
        <f>ROW(SmtRes!A97)</f>
        <v>97</v>
      </c>
      <c r="D163">
        <f>ROW(EtalonRes!A96)</f>
        <v>96</v>
      </c>
      <c r="E163" t="s">
        <v>224</v>
      </c>
      <c r="F163" t="s">
        <v>225</v>
      </c>
      <c r="G163" t="s">
        <v>226</v>
      </c>
      <c r="H163" t="s">
        <v>227</v>
      </c>
      <c r="I163">
        <f>ROUND(3.6,3)</f>
        <v>3.6</v>
      </c>
      <c r="J163">
        <v>0</v>
      </c>
      <c r="O163">
        <f t="shared" si="90"/>
        <v>5882.4</v>
      </c>
      <c r="P163">
        <f t="shared" si="91"/>
        <v>9.6</v>
      </c>
      <c r="Q163">
        <f t="shared" si="92"/>
        <v>7.2</v>
      </c>
      <c r="R163">
        <f t="shared" si="93"/>
        <v>0</v>
      </c>
      <c r="S163">
        <f t="shared" si="94"/>
        <v>5865.6</v>
      </c>
      <c r="T163">
        <f t="shared" si="95"/>
        <v>0</v>
      </c>
      <c r="U163">
        <f t="shared" si="96"/>
        <v>32.4</v>
      </c>
      <c r="V163">
        <f t="shared" si="97"/>
        <v>0</v>
      </c>
      <c r="W163">
        <f t="shared" si="98"/>
        <v>0</v>
      </c>
      <c r="X163">
        <f t="shared" si="99"/>
        <v>7214.7</v>
      </c>
      <c r="Y163">
        <f t="shared" si="100"/>
        <v>3519.4</v>
      </c>
      <c r="AA163">
        <v>42253831</v>
      </c>
      <c r="AB163">
        <f t="shared" si="101"/>
        <v>82.38</v>
      </c>
      <c r="AC163">
        <f t="shared" si="129"/>
        <v>0.47</v>
      </c>
      <c r="AD163">
        <f t="shared" si="103"/>
        <v>0.28</v>
      </c>
      <c r="AE163">
        <f t="shared" si="104"/>
        <v>0</v>
      </c>
      <c r="AF163">
        <f t="shared" si="105"/>
        <v>81.63</v>
      </c>
      <c r="AG163">
        <f t="shared" si="106"/>
        <v>0</v>
      </c>
      <c r="AH163">
        <f t="shared" si="107"/>
        <v>9</v>
      </c>
      <c r="AI163">
        <f t="shared" si="108"/>
        <v>0</v>
      </c>
      <c r="AJ163">
        <f t="shared" si="109"/>
        <v>0</v>
      </c>
      <c r="AK163">
        <v>82.38</v>
      </c>
      <c r="AL163">
        <v>0.47</v>
      </c>
      <c r="AM163">
        <v>0.28</v>
      </c>
      <c r="AN163">
        <v>0</v>
      </c>
      <c r="AO163">
        <v>81.63</v>
      </c>
      <c r="AP163">
        <v>0</v>
      </c>
      <c r="AQ163">
        <v>9</v>
      </c>
      <c r="AR163">
        <v>0</v>
      </c>
      <c r="AS163">
        <v>0</v>
      </c>
      <c r="AT163">
        <v>123</v>
      </c>
      <c r="AU163">
        <v>60</v>
      </c>
      <c r="AV163">
        <v>1</v>
      </c>
      <c r="AW163">
        <v>1</v>
      </c>
      <c r="AZ163">
        <v>1</v>
      </c>
      <c r="BA163">
        <v>19.96</v>
      </c>
      <c r="BB163">
        <v>7.11</v>
      </c>
      <c r="BC163">
        <v>5.66</v>
      </c>
      <c r="BH163">
        <v>0</v>
      </c>
      <c r="BI163">
        <v>1</v>
      </c>
      <c r="BJ163" t="s">
        <v>228</v>
      </c>
      <c r="BM163">
        <v>29001</v>
      </c>
      <c r="BN163">
        <v>0</v>
      </c>
      <c r="BO163" t="s">
        <v>27</v>
      </c>
      <c r="BP163">
        <v>1</v>
      </c>
      <c r="BQ163">
        <v>2</v>
      </c>
      <c r="BR163">
        <v>0</v>
      </c>
      <c r="BS163">
        <v>19.96</v>
      </c>
      <c r="BT163">
        <v>1</v>
      </c>
      <c r="BU163">
        <v>1</v>
      </c>
      <c r="BV163">
        <v>1</v>
      </c>
      <c r="BW163">
        <v>1</v>
      </c>
      <c r="BX163">
        <v>1</v>
      </c>
      <c r="BZ163">
        <v>145</v>
      </c>
      <c r="CA163">
        <v>75</v>
      </c>
      <c r="CF163">
        <v>0</v>
      </c>
      <c r="CG163">
        <v>0</v>
      </c>
      <c r="CM163">
        <v>0</v>
      </c>
      <c r="CO163">
        <v>0</v>
      </c>
      <c r="CP163">
        <f t="shared" si="110"/>
        <v>5882.400000000001</v>
      </c>
      <c r="CQ163">
        <f t="shared" si="111"/>
        <v>2.6602</v>
      </c>
      <c r="CR163">
        <f t="shared" si="112"/>
        <v>1.9908000000000003</v>
      </c>
      <c r="CS163">
        <f t="shared" si="113"/>
        <v>0</v>
      </c>
      <c r="CT163">
        <f t="shared" si="114"/>
        <v>1629.3348</v>
      </c>
      <c r="CU163">
        <f t="shared" si="115"/>
        <v>0</v>
      </c>
      <c r="CV163">
        <f t="shared" si="116"/>
        <v>9</v>
      </c>
      <c r="CW163">
        <f t="shared" si="117"/>
        <v>0</v>
      </c>
      <c r="CX163">
        <f t="shared" si="118"/>
        <v>0</v>
      </c>
      <c r="CY163">
        <f t="shared" si="119"/>
        <v>7214.688</v>
      </c>
      <c r="CZ163">
        <f t="shared" si="120"/>
        <v>3519.36</v>
      </c>
      <c r="DN163">
        <v>0</v>
      </c>
      <c r="DO163">
        <v>0</v>
      </c>
      <c r="DP163">
        <v>1</v>
      </c>
      <c r="DQ163">
        <v>1</v>
      </c>
      <c r="DU163">
        <v>1013</v>
      </c>
      <c r="DV163" t="s">
        <v>227</v>
      </c>
      <c r="DW163" t="s">
        <v>227</v>
      </c>
      <c r="DX163">
        <v>1</v>
      </c>
      <c r="EE163">
        <v>39125418</v>
      </c>
      <c r="EF163">
        <v>2</v>
      </c>
      <c r="EG163" t="s">
        <v>28</v>
      </c>
      <c r="EH163">
        <v>0</v>
      </c>
      <c r="EJ163">
        <v>1</v>
      </c>
      <c r="EK163">
        <v>29001</v>
      </c>
      <c r="EL163" t="s">
        <v>229</v>
      </c>
      <c r="EM163" t="s">
        <v>230</v>
      </c>
      <c r="EQ163">
        <v>0</v>
      </c>
      <c r="ER163">
        <v>82.38</v>
      </c>
      <c r="ES163">
        <v>0.47</v>
      </c>
      <c r="ET163">
        <v>0.28</v>
      </c>
      <c r="EU163">
        <v>0</v>
      </c>
      <c r="EV163">
        <v>81.63</v>
      </c>
      <c r="EW163">
        <v>9</v>
      </c>
      <c r="EX163">
        <v>0</v>
      </c>
      <c r="EY163">
        <v>0</v>
      </c>
      <c r="FQ163">
        <v>0</v>
      </c>
      <c r="FR163">
        <f t="shared" si="121"/>
        <v>0</v>
      </c>
      <c r="FS163">
        <v>0</v>
      </c>
      <c r="FV163" t="s">
        <v>31</v>
      </c>
      <c r="FW163" t="s">
        <v>32</v>
      </c>
      <c r="FX163">
        <v>145</v>
      </c>
      <c r="FY163">
        <v>75</v>
      </c>
      <c r="GD163">
        <v>0</v>
      </c>
      <c r="GF163">
        <v>-382174363</v>
      </c>
      <c r="GG163">
        <v>2</v>
      </c>
      <c r="GH163">
        <v>1</v>
      </c>
      <c r="GI163">
        <v>4</v>
      </c>
      <c r="GJ163">
        <v>0</v>
      </c>
      <c r="GK163">
        <f>ROUND(R163*(R12)/100,1)</f>
        <v>0</v>
      </c>
      <c r="GL163">
        <f t="shared" si="122"/>
        <v>0</v>
      </c>
      <c r="GM163">
        <f t="shared" si="123"/>
        <v>16616.5</v>
      </c>
      <c r="GN163">
        <f t="shared" si="124"/>
        <v>16616.5</v>
      </c>
      <c r="GO163">
        <f t="shared" si="125"/>
        <v>0</v>
      </c>
      <c r="GP163">
        <f t="shared" si="126"/>
        <v>0</v>
      </c>
      <c r="GR163">
        <v>0</v>
      </c>
      <c r="GS163">
        <v>3</v>
      </c>
      <c r="GT163">
        <v>0</v>
      </c>
      <c r="GV163">
        <f t="shared" si="127"/>
        <v>0</v>
      </c>
      <c r="GW163">
        <v>19.96</v>
      </c>
      <c r="GX163">
        <f t="shared" si="128"/>
        <v>0</v>
      </c>
      <c r="HA163">
        <v>0</v>
      </c>
      <c r="HB163">
        <v>0</v>
      </c>
      <c r="IK163">
        <v>0</v>
      </c>
    </row>
    <row r="164" spans="1:245" ht="12.75">
      <c r="A164">
        <v>17</v>
      </c>
      <c r="B164">
        <v>1</v>
      </c>
      <c r="C164">
        <f>ROW(SmtRes!A106)</f>
        <v>106</v>
      </c>
      <c r="D164">
        <f>ROW(EtalonRes!A108)</f>
        <v>108</v>
      </c>
      <c r="E164" t="s">
        <v>231</v>
      </c>
      <c r="F164" t="s">
        <v>232</v>
      </c>
      <c r="G164" t="s">
        <v>233</v>
      </c>
      <c r="H164" t="s">
        <v>234</v>
      </c>
      <c r="I164">
        <f>ROUND(0.042,3)</f>
        <v>0.042</v>
      </c>
      <c r="J164">
        <v>0</v>
      </c>
      <c r="O164">
        <f t="shared" si="90"/>
        <v>3397.3</v>
      </c>
      <c r="P164">
        <f t="shared" si="91"/>
        <v>452.6</v>
      </c>
      <c r="Q164">
        <f t="shared" si="92"/>
        <v>154.8</v>
      </c>
      <c r="R164">
        <f t="shared" si="93"/>
        <v>26.3</v>
      </c>
      <c r="S164">
        <f t="shared" si="94"/>
        <v>2789.9</v>
      </c>
      <c r="T164">
        <f t="shared" si="95"/>
        <v>0</v>
      </c>
      <c r="U164">
        <f t="shared" si="96"/>
        <v>15.22584</v>
      </c>
      <c r="V164">
        <f t="shared" si="97"/>
        <v>0.11130000000000001</v>
      </c>
      <c r="W164">
        <f t="shared" si="98"/>
        <v>0</v>
      </c>
      <c r="X164">
        <f t="shared" si="99"/>
        <v>3126</v>
      </c>
      <c r="Y164">
        <f t="shared" si="100"/>
        <v>1999.5</v>
      </c>
      <c r="AA164">
        <v>42253831</v>
      </c>
      <c r="AB164">
        <f t="shared" si="101"/>
        <v>5750.34</v>
      </c>
      <c r="AC164">
        <f t="shared" si="129"/>
        <v>1903.98</v>
      </c>
      <c r="AD164">
        <f t="shared" si="103"/>
        <v>518.43</v>
      </c>
      <c r="AE164">
        <f t="shared" si="104"/>
        <v>31.42</v>
      </c>
      <c r="AF164">
        <f t="shared" si="105"/>
        <v>3327.93</v>
      </c>
      <c r="AG164">
        <f t="shared" si="106"/>
        <v>0</v>
      </c>
      <c r="AH164">
        <f t="shared" si="107"/>
        <v>362.52</v>
      </c>
      <c r="AI164">
        <f t="shared" si="108"/>
        <v>2.65</v>
      </c>
      <c r="AJ164">
        <f t="shared" si="109"/>
        <v>0</v>
      </c>
      <c r="AK164">
        <v>5750.34</v>
      </c>
      <c r="AL164">
        <v>1903.98</v>
      </c>
      <c r="AM164">
        <v>518.43</v>
      </c>
      <c r="AN164">
        <v>31.42</v>
      </c>
      <c r="AO164">
        <v>3327.93</v>
      </c>
      <c r="AP164">
        <v>0</v>
      </c>
      <c r="AQ164">
        <v>362.52</v>
      </c>
      <c r="AR164">
        <v>2.65</v>
      </c>
      <c r="AS164">
        <v>0</v>
      </c>
      <c r="AT164">
        <v>111</v>
      </c>
      <c r="AU164">
        <v>71</v>
      </c>
      <c r="AV164">
        <v>1</v>
      </c>
      <c r="AW164">
        <v>1</v>
      </c>
      <c r="AZ164">
        <v>1</v>
      </c>
      <c r="BA164">
        <v>19.96</v>
      </c>
      <c r="BB164">
        <v>7.11</v>
      </c>
      <c r="BC164">
        <v>5.66</v>
      </c>
      <c r="BH164">
        <v>0</v>
      </c>
      <c r="BI164">
        <v>1</v>
      </c>
      <c r="BJ164" t="s">
        <v>235</v>
      </c>
      <c r="BM164">
        <v>22001</v>
      </c>
      <c r="BN164">
        <v>0</v>
      </c>
      <c r="BO164" t="s">
        <v>27</v>
      </c>
      <c r="BP164">
        <v>1</v>
      </c>
      <c r="BQ164">
        <v>2</v>
      </c>
      <c r="BR164">
        <v>0</v>
      </c>
      <c r="BS164">
        <v>19.96</v>
      </c>
      <c r="BT164">
        <v>1</v>
      </c>
      <c r="BU164">
        <v>1</v>
      </c>
      <c r="BV164">
        <v>1</v>
      </c>
      <c r="BW164">
        <v>1</v>
      </c>
      <c r="BX164">
        <v>1</v>
      </c>
      <c r="BZ164">
        <v>130</v>
      </c>
      <c r="CA164">
        <v>89</v>
      </c>
      <c r="CF164">
        <v>0</v>
      </c>
      <c r="CG164">
        <v>0</v>
      </c>
      <c r="CM164">
        <v>0</v>
      </c>
      <c r="CO164">
        <v>0</v>
      </c>
      <c r="CP164">
        <f t="shared" si="110"/>
        <v>3397.3</v>
      </c>
      <c r="CQ164">
        <f t="shared" si="111"/>
        <v>10776.5268</v>
      </c>
      <c r="CR164">
        <f t="shared" si="112"/>
        <v>3686.0373</v>
      </c>
      <c r="CS164">
        <f t="shared" si="113"/>
        <v>627.1432000000001</v>
      </c>
      <c r="CT164">
        <f t="shared" si="114"/>
        <v>66425.4828</v>
      </c>
      <c r="CU164">
        <f t="shared" si="115"/>
        <v>0</v>
      </c>
      <c r="CV164">
        <f t="shared" si="116"/>
        <v>362.52</v>
      </c>
      <c r="CW164">
        <f t="shared" si="117"/>
        <v>2.65</v>
      </c>
      <c r="CX164">
        <f t="shared" si="118"/>
        <v>0</v>
      </c>
      <c r="CY164">
        <f t="shared" si="119"/>
        <v>3125.982</v>
      </c>
      <c r="CZ164">
        <f t="shared" si="120"/>
        <v>1999.5020000000002</v>
      </c>
      <c r="DN164">
        <v>0</v>
      </c>
      <c r="DO164">
        <v>0</v>
      </c>
      <c r="DP164">
        <v>1</v>
      </c>
      <c r="DQ164">
        <v>1</v>
      </c>
      <c r="DU164">
        <v>1003</v>
      </c>
      <c r="DV164" t="s">
        <v>234</v>
      </c>
      <c r="DW164" t="s">
        <v>234</v>
      </c>
      <c r="DX164">
        <v>1000</v>
      </c>
      <c r="EE164">
        <v>39125406</v>
      </c>
      <c r="EF164">
        <v>2</v>
      </c>
      <c r="EG164" t="s">
        <v>28</v>
      </c>
      <c r="EH164">
        <v>0</v>
      </c>
      <c r="EJ164">
        <v>1</v>
      </c>
      <c r="EK164">
        <v>22001</v>
      </c>
      <c r="EL164" t="s">
        <v>236</v>
      </c>
      <c r="EM164" t="s">
        <v>237</v>
      </c>
      <c r="EQ164">
        <v>0</v>
      </c>
      <c r="ER164">
        <v>5750.34</v>
      </c>
      <c r="ES164">
        <v>1903.98</v>
      </c>
      <c r="ET164">
        <v>518.43</v>
      </c>
      <c r="EU164">
        <v>31.42</v>
      </c>
      <c r="EV164">
        <v>3327.93</v>
      </c>
      <c r="EW164">
        <v>362.52</v>
      </c>
      <c r="EX164">
        <v>2.65</v>
      </c>
      <c r="EY164">
        <v>0</v>
      </c>
      <c r="FQ164">
        <v>0</v>
      </c>
      <c r="FR164">
        <f t="shared" si="121"/>
        <v>0</v>
      </c>
      <c r="FS164">
        <v>0</v>
      </c>
      <c r="FV164" t="s">
        <v>31</v>
      </c>
      <c r="FW164" t="s">
        <v>32</v>
      </c>
      <c r="FX164">
        <v>130</v>
      </c>
      <c r="FY164">
        <v>89</v>
      </c>
      <c r="GD164">
        <v>0</v>
      </c>
      <c r="GF164">
        <v>1088025456</v>
      </c>
      <c r="GG164">
        <v>2</v>
      </c>
      <c r="GH164">
        <v>1</v>
      </c>
      <c r="GI164">
        <v>4</v>
      </c>
      <c r="GJ164">
        <v>0</v>
      </c>
      <c r="GK164">
        <f>ROUND(R164*(R12)/100,1)</f>
        <v>0</v>
      </c>
      <c r="GL164">
        <f t="shared" si="122"/>
        <v>0</v>
      </c>
      <c r="GM164">
        <f t="shared" si="123"/>
        <v>8522.8</v>
      </c>
      <c r="GN164">
        <f t="shared" si="124"/>
        <v>8522.8</v>
      </c>
      <c r="GO164">
        <f t="shared" si="125"/>
        <v>0</v>
      </c>
      <c r="GP164">
        <f t="shared" si="126"/>
        <v>0</v>
      </c>
      <c r="GR164">
        <v>0</v>
      </c>
      <c r="GS164">
        <v>3</v>
      </c>
      <c r="GT164">
        <v>0</v>
      </c>
      <c r="GV164">
        <f t="shared" si="127"/>
        <v>0</v>
      </c>
      <c r="GW164">
        <v>19.96</v>
      </c>
      <c r="GX164">
        <f t="shared" si="128"/>
        <v>0</v>
      </c>
      <c r="HA164">
        <v>0</v>
      </c>
      <c r="HB164">
        <v>0</v>
      </c>
      <c r="IK164">
        <v>0</v>
      </c>
    </row>
    <row r="165" spans="1:245" ht="12.75">
      <c r="A165">
        <v>17</v>
      </c>
      <c r="B165">
        <v>1</v>
      </c>
      <c r="E165" t="s">
        <v>238</v>
      </c>
      <c r="F165" t="s">
        <v>239</v>
      </c>
      <c r="G165" t="s">
        <v>240</v>
      </c>
      <c r="H165" t="s">
        <v>241</v>
      </c>
      <c r="I165">
        <f>ROUND(42.336,3)</f>
        <v>42.336</v>
      </c>
      <c r="J165">
        <v>0</v>
      </c>
      <c r="O165">
        <f t="shared" si="90"/>
        <v>3474.5</v>
      </c>
      <c r="P165">
        <f t="shared" si="91"/>
        <v>3474.5</v>
      </c>
      <c r="Q165">
        <f t="shared" si="92"/>
        <v>0</v>
      </c>
      <c r="R165">
        <f t="shared" si="93"/>
        <v>0</v>
      </c>
      <c r="S165">
        <f t="shared" si="94"/>
        <v>0</v>
      </c>
      <c r="T165">
        <f t="shared" si="95"/>
        <v>0</v>
      </c>
      <c r="U165">
        <f t="shared" si="96"/>
        <v>0</v>
      </c>
      <c r="V165">
        <f t="shared" si="97"/>
        <v>0</v>
      </c>
      <c r="W165">
        <f t="shared" si="98"/>
        <v>0</v>
      </c>
      <c r="X165">
        <f t="shared" si="99"/>
        <v>0</v>
      </c>
      <c r="Y165">
        <f t="shared" si="100"/>
        <v>0</v>
      </c>
      <c r="AA165">
        <v>42253831</v>
      </c>
      <c r="AB165">
        <f t="shared" si="101"/>
        <v>14.5</v>
      </c>
      <c r="AC165">
        <f t="shared" si="129"/>
        <v>14.5</v>
      </c>
      <c r="AD165">
        <f t="shared" si="103"/>
        <v>0</v>
      </c>
      <c r="AE165">
        <f t="shared" si="104"/>
        <v>0</v>
      </c>
      <c r="AF165">
        <f t="shared" si="105"/>
        <v>0</v>
      </c>
      <c r="AG165">
        <f t="shared" si="106"/>
        <v>0</v>
      </c>
      <c r="AH165">
        <f t="shared" si="107"/>
        <v>0</v>
      </c>
      <c r="AI165">
        <f t="shared" si="108"/>
        <v>0</v>
      </c>
      <c r="AJ165">
        <f t="shared" si="109"/>
        <v>0</v>
      </c>
      <c r="AK165">
        <v>14.5</v>
      </c>
      <c r="AL165">
        <v>14.5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1</v>
      </c>
      <c r="AZ165">
        <v>1</v>
      </c>
      <c r="BA165">
        <v>1</v>
      </c>
      <c r="BB165">
        <v>1</v>
      </c>
      <c r="BC165">
        <v>5.66</v>
      </c>
      <c r="BH165">
        <v>3</v>
      </c>
      <c r="BI165">
        <v>1</v>
      </c>
      <c r="BJ165" t="s">
        <v>242</v>
      </c>
      <c r="BM165">
        <v>500001</v>
      </c>
      <c r="BN165">
        <v>0</v>
      </c>
      <c r="BO165" t="s">
        <v>27</v>
      </c>
      <c r="BP165">
        <v>1</v>
      </c>
      <c r="BQ165">
        <v>8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Z165">
        <v>0</v>
      </c>
      <c r="CA165">
        <v>0</v>
      </c>
      <c r="CF165">
        <v>0</v>
      </c>
      <c r="CG165">
        <v>0</v>
      </c>
      <c r="CM165">
        <v>0</v>
      </c>
      <c r="CO165">
        <v>0</v>
      </c>
      <c r="CP165">
        <f t="shared" si="110"/>
        <v>3474.5</v>
      </c>
      <c r="CQ165">
        <f t="shared" si="111"/>
        <v>82.07000000000001</v>
      </c>
      <c r="CR165">
        <f t="shared" si="112"/>
        <v>0</v>
      </c>
      <c r="CS165">
        <f t="shared" si="113"/>
        <v>0</v>
      </c>
      <c r="CT165">
        <f t="shared" si="114"/>
        <v>0</v>
      </c>
      <c r="CU165">
        <f t="shared" si="115"/>
        <v>0</v>
      </c>
      <c r="CV165">
        <f t="shared" si="116"/>
        <v>0</v>
      </c>
      <c r="CW165">
        <f t="shared" si="117"/>
        <v>0</v>
      </c>
      <c r="CX165">
        <f t="shared" si="118"/>
        <v>0</v>
      </c>
      <c r="CY165">
        <f t="shared" si="119"/>
        <v>0</v>
      </c>
      <c r="CZ165">
        <f t="shared" si="120"/>
        <v>0</v>
      </c>
      <c r="DN165">
        <v>0</v>
      </c>
      <c r="DO165">
        <v>0</v>
      </c>
      <c r="DP165">
        <v>1</v>
      </c>
      <c r="DQ165">
        <v>1</v>
      </c>
      <c r="DU165">
        <v>1003</v>
      </c>
      <c r="DV165" t="s">
        <v>241</v>
      </c>
      <c r="DW165" t="s">
        <v>241</v>
      </c>
      <c r="DX165">
        <v>1</v>
      </c>
      <c r="EE165">
        <v>39125306</v>
      </c>
      <c r="EF165">
        <v>8</v>
      </c>
      <c r="EG165" t="s">
        <v>142</v>
      </c>
      <c r="EH165">
        <v>0</v>
      </c>
      <c r="EJ165">
        <v>1</v>
      </c>
      <c r="EK165">
        <v>500001</v>
      </c>
      <c r="EL165" t="s">
        <v>143</v>
      </c>
      <c r="EM165" t="s">
        <v>144</v>
      </c>
      <c r="EQ165">
        <v>0</v>
      </c>
      <c r="ER165">
        <v>14.5</v>
      </c>
      <c r="ES165">
        <v>14.5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FQ165">
        <v>0</v>
      </c>
      <c r="FR165">
        <f t="shared" si="121"/>
        <v>0</v>
      </c>
      <c r="FS165">
        <v>0</v>
      </c>
      <c r="FX165">
        <v>0</v>
      </c>
      <c r="FY165">
        <v>0</v>
      </c>
      <c r="GD165">
        <v>0</v>
      </c>
      <c r="GF165">
        <v>1533067279</v>
      </c>
      <c r="GG165">
        <v>2</v>
      </c>
      <c r="GH165">
        <v>1</v>
      </c>
      <c r="GI165">
        <v>4</v>
      </c>
      <c r="GJ165">
        <v>0</v>
      </c>
      <c r="GK165">
        <f>ROUND(R165*(R12)/100,1)</f>
        <v>0</v>
      </c>
      <c r="GL165">
        <f t="shared" si="122"/>
        <v>0</v>
      </c>
      <c r="GM165">
        <f t="shared" si="123"/>
        <v>3474.5</v>
      </c>
      <c r="GN165">
        <f t="shared" si="124"/>
        <v>3474.5</v>
      </c>
      <c r="GO165">
        <f t="shared" si="125"/>
        <v>0</v>
      </c>
      <c r="GP165">
        <f t="shared" si="126"/>
        <v>0</v>
      </c>
      <c r="GR165">
        <v>0</v>
      </c>
      <c r="GS165">
        <v>3</v>
      </c>
      <c r="GT165">
        <v>0</v>
      </c>
      <c r="GV165">
        <f t="shared" si="127"/>
        <v>0</v>
      </c>
      <c r="GW165">
        <v>1</v>
      </c>
      <c r="GX165">
        <f t="shared" si="128"/>
        <v>0</v>
      </c>
      <c r="HA165">
        <v>0</v>
      </c>
      <c r="HB165">
        <v>0</v>
      </c>
      <c r="IK165">
        <v>0</v>
      </c>
    </row>
    <row r="166" spans="1:245" ht="12.75">
      <c r="A166">
        <v>17</v>
      </c>
      <c r="B166">
        <v>1</v>
      </c>
      <c r="C166">
        <f>ROW(SmtRes!A113)</f>
        <v>113</v>
      </c>
      <c r="D166">
        <f>ROW(EtalonRes!A115)</f>
        <v>115</v>
      </c>
      <c r="E166" t="s">
        <v>243</v>
      </c>
      <c r="F166" t="s">
        <v>244</v>
      </c>
      <c r="G166" t="s">
        <v>245</v>
      </c>
      <c r="H166" t="s">
        <v>246</v>
      </c>
      <c r="I166">
        <f>ROUND(0.181,3)</f>
        <v>0.181</v>
      </c>
      <c r="J166">
        <v>0</v>
      </c>
      <c r="O166">
        <f t="shared" si="90"/>
        <v>2250.7</v>
      </c>
      <c r="P166">
        <f t="shared" si="91"/>
        <v>74</v>
      </c>
      <c r="Q166">
        <f t="shared" si="92"/>
        <v>566.5</v>
      </c>
      <c r="R166">
        <f t="shared" si="93"/>
        <v>195.6</v>
      </c>
      <c r="S166">
        <f t="shared" si="94"/>
        <v>1610.2</v>
      </c>
      <c r="T166">
        <f t="shared" si="95"/>
        <v>0</v>
      </c>
      <c r="U166">
        <f t="shared" si="96"/>
        <v>8.385729999999999</v>
      </c>
      <c r="V166">
        <f t="shared" si="97"/>
        <v>0.7927799999999999</v>
      </c>
      <c r="W166">
        <f t="shared" si="98"/>
        <v>0</v>
      </c>
      <c r="X166">
        <f t="shared" si="99"/>
        <v>1607.2</v>
      </c>
      <c r="Y166">
        <f t="shared" si="100"/>
        <v>939</v>
      </c>
      <c r="AA166">
        <v>42253831</v>
      </c>
      <c r="AB166">
        <f t="shared" si="101"/>
        <v>958.14</v>
      </c>
      <c r="AC166">
        <f t="shared" si="129"/>
        <v>72.21</v>
      </c>
      <c r="AD166">
        <f t="shared" si="103"/>
        <v>440.24</v>
      </c>
      <c r="AE166">
        <f t="shared" si="104"/>
        <v>54.14</v>
      </c>
      <c r="AF166">
        <f t="shared" si="105"/>
        <v>445.69</v>
      </c>
      <c r="AG166">
        <f t="shared" si="106"/>
        <v>0</v>
      </c>
      <c r="AH166">
        <f t="shared" si="107"/>
        <v>46.33</v>
      </c>
      <c r="AI166">
        <f t="shared" si="108"/>
        <v>4.38</v>
      </c>
      <c r="AJ166">
        <f t="shared" si="109"/>
        <v>0</v>
      </c>
      <c r="AK166">
        <v>958.14</v>
      </c>
      <c r="AL166">
        <v>72.21</v>
      </c>
      <c r="AM166">
        <v>440.24</v>
      </c>
      <c r="AN166">
        <v>54.14</v>
      </c>
      <c r="AO166">
        <v>445.69</v>
      </c>
      <c r="AP166">
        <v>0</v>
      </c>
      <c r="AQ166">
        <v>46.33</v>
      </c>
      <c r="AR166">
        <v>4.38</v>
      </c>
      <c r="AS166">
        <v>0</v>
      </c>
      <c r="AT166">
        <v>89</v>
      </c>
      <c r="AU166">
        <v>52</v>
      </c>
      <c r="AV166">
        <v>1</v>
      </c>
      <c r="AW166">
        <v>1</v>
      </c>
      <c r="AZ166">
        <v>1</v>
      </c>
      <c r="BA166">
        <v>19.96</v>
      </c>
      <c r="BB166">
        <v>7.11</v>
      </c>
      <c r="BC166">
        <v>5.66</v>
      </c>
      <c r="BH166">
        <v>0</v>
      </c>
      <c r="BI166">
        <v>1</v>
      </c>
      <c r="BJ166" t="s">
        <v>247</v>
      </c>
      <c r="BM166">
        <v>6001</v>
      </c>
      <c r="BN166">
        <v>0</v>
      </c>
      <c r="BO166" t="s">
        <v>27</v>
      </c>
      <c r="BP166">
        <v>1</v>
      </c>
      <c r="BQ166">
        <v>2</v>
      </c>
      <c r="BR166">
        <v>0</v>
      </c>
      <c r="BS166">
        <v>19.96</v>
      </c>
      <c r="BT166">
        <v>1</v>
      </c>
      <c r="BU166">
        <v>1</v>
      </c>
      <c r="BV166">
        <v>1</v>
      </c>
      <c r="BW166">
        <v>1</v>
      </c>
      <c r="BX166">
        <v>1</v>
      </c>
      <c r="BZ166">
        <v>105</v>
      </c>
      <c r="CA166">
        <v>65</v>
      </c>
      <c r="CF166">
        <v>0</v>
      </c>
      <c r="CG166">
        <v>0</v>
      </c>
      <c r="CM166">
        <v>0</v>
      </c>
      <c r="CO166">
        <v>0</v>
      </c>
      <c r="CP166">
        <f t="shared" si="110"/>
        <v>2250.7</v>
      </c>
      <c r="CQ166">
        <f t="shared" si="111"/>
        <v>408.7086</v>
      </c>
      <c r="CR166">
        <f t="shared" si="112"/>
        <v>3130.1064</v>
      </c>
      <c r="CS166">
        <f t="shared" si="113"/>
        <v>1080.6344000000001</v>
      </c>
      <c r="CT166">
        <f t="shared" si="114"/>
        <v>8895.9724</v>
      </c>
      <c r="CU166">
        <f t="shared" si="115"/>
        <v>0</v>
      </c>
      <c r="CV166">
        <f t="shared" si="116"/>
        <v>46.33</v>
      </c>
      <c r="CW166">
        <f t="shared" si="117"/>
        <v>4.38</v>
      </c>
      <c r="CX166">
        <f t="shared" si="118"/>
        <v>0</v>
      </c>
      <c r="CY166">
        <f t="shared" si="119"/>
        <v>1607.1619999999998</v>
      </c>
      <c r="CZ166">
        <f t="shared" si="120"/>
        <v>939.016</v>
      </c>
      <c r="DN166">
        <v>0</v>
      </c>
      <c r="DO166">
        <v>0</v>
      </c>
      <c r="DP166">
        <v>1</v>
      </c>
      <c r="DQ166">
        <v>1</v>
      </c>
      <c r="DU166">
        <v>1009</v>
      </c>
      <c r="DV166" t="s">
        <v>246</v>
      </c>
      <c r="DW166" t="s">
        <v>246</v>
      </c>
      <c r="DX166">
        <v>1000</v>
      </c>
      <c r="EE166">
        <v>39125360</v>
      </c>
      <c r="EF166">
        <v>2</v>
      </c>
      <c r="EG166" t="s">
        <v>28</v>
      </c>
      <c r="EH166">
        <v>0</v>
      </c>
      <c r="EJ166">
        <v>1</v>
      </c>
      <c r="EK166">
        <v>6001</v>
      </c>
      <c r="EL166" t="s">
        <v>189</v>
      </c>
      <c r="EM166" t="s">
        <v>190</v>
      </c>
      <c r="EQ166">
        <v>0</v>
      </c>
      <c r="ER166">
        <v>958.14</v>
      </c>
      <c r="ES166">
        <v>72.21</v>
      </c>
      <c r="ET166">
        <v>440.24</v>
      </c>
      <c r="EU166">
        <v>54.14</v>
      </c>
      <c r="EV166">
        <v>445.69</v>
      </c>
      <c r="EW166">
        <v>46.33</v>
      </c>
      <c r="EX166">
        <v>4.38</v>
      </c>
      <c r="EY166">
        <v>0</v>
      </c>
      <c r="FQ166">
        <v>0</v>
      </c>
      <c r="FR166">
        <f t="shared" si="121"/>
        <v>0</v>
      </c>
      <c r="FS166">
        <v>0</v>
      </c>
      <c r="FV166" t="s">
        <v>31</v>
      </c>
      <c r="FW166" t="s">
        <v>32</v>
      </c>
      <c r="FX166">
        <v>105</v>
      </c>
      <c r="FY166">
        <v>65</v>
      </c>
      <c r="GD166">
        <v>0</v>
      </c>
      <c r="GF166">
        <v>2075211485</v>
      </c>
      <c r="GG166">
        <v>2</v>
      </c>
      <c r="GH166">
        <v>1</v>
      </c>
      <c r="GI166">
        <v>4</v>
      </c>
      <c r="GJ166">
        <v>0</v>
      </c>
      <c r="GK166">
        <f>ROUND(R166*(R12)/100,1)</f>
        <v>0</v>
      </c>
      <c r="GL166">
        <f t="shared" si="122"/>
        <v>0</v>
      </c>
      <c r="GM166">
        <f t="shared" si="123"/>
        <v>4796.9</v>
      </c>
      <c r="GN166">
        <f t="shared" si="124"/>
        <v>4796.9</v>
      </c>
      <c r="GO166">
        <f t="shared" si="125"/>
        <v>0</v>
      </c>
      <c r="GP166">
        <f t="shared" si="126"/>
        <v>0</v>
      </c>
      <c r="GR166">
        <v>0</v>
      </c>
      <c r="GS166">
        <v>3</v>
      </c>
      <c r="GT166">
        <v>0</v>
      </c>
      <c r="GV166">
        <f t="shared" si="127"/>
        <v>0</v>
      </c>
      <c r="GW166">
        <v>19.96</v>
      </c>
      <c r="GX166">
        <f t="shared" si="128"/>
        <v>0</v>
      </c>
      <c r="HA166">
        <v>0</v>
      </c>
      <c r="HB166">
        <v>0</v>
      </c>
      <c r="IK166">
        <v>0</v>
      </c>
    </row>
    <row r="167" spans="1:245" ht="12.75">
      <c r="A167">
        <v>18</v>
      </c>
      <c r="B167">
        <v>1</v>
      </c>
      <c r="C167">
        <v>113</v>
      </c>
      <c r="E167" t="s">
        <v>248</v>
      </c>
      <c r="F167" t="s">
        <v>249</v>
      </c>
      <c r="G167" t="s">
        <v>250</v>
      </c>
      <c r="H167" t="s">
        <v>246</v>
      </c>
      <c r="I167">
        <f>I166*J167</f>
        <v>0.181</v>
      </c>
      <c r="J167">
        <v>1</v>
      </c>
      <c r="O167">
        <f t="shared" si="90"/>
        <v>6945.8</v>
      </c>
      <c r="P167">
        <f t="shared" si="91"/>
        <v>6945.8</v>
      </c>
      <c r="Q167">
        <f t="shared" si="92"/>
        <v>0</v>
      </c>
      <c r="R167">
        <f t="shared" si="93"/>
        <v>0</v>
      </c>
      <c r="S167">
        <f t="shared" si="94"/>
        <v>0</v>
      </c>
      <c r="T167">
        <f t="shared" si="95"/>
        <v>0</v>
      </c>
      <c r="U167">
        <f t="shared" si="96"/>
        <v>0</v>
      </c>
      <c r="V167">
        <f t="shared" si="97"/>
        <v>0</v>
      </c>
      <c r="W167">
        <f t="shared" si="98"/>
        <v>0</v>
      </c>
      <c r="X167">
        <f t="shared" si="99"/>
        <v>0</v>
      </c>
      <c r="Y167">
        <f t="shared" si="100"/>
        <v>0</v>
      </c>
      <c r="AA167">
        <v>42253831</v>
      </c>
      <c r="AB167">
        <f t="shared" si="101"/>
        <v>6780</v>
      </c>
      <c r="AC167">
        <f t="shared" si="129"/>
        <v>6780</v>
      </c>
      <c r="AD167">
        <f t="shared" si="103"/>
        <v>0</v>
      </c>
      <c r="AE167">
        <f t="shared" si="104"/>
        <v>0</v>
      </c>
      <c r="AF167">
        <f t="shared" si="105"/>
        <v>0</v>
      </c>
      <c r="AG167">
        <f t="shared" si="106"/>
        <v>0</v>
      </c>
      <c r="AH167">
        <f t="shared" si="107"/>
        <v>0</v>
      </c>
      <c r="AI167">
        <f t="shared" si="108"/>
        <v>0</v>
      </c>
      <c r="AJ167">
        <f t="shared" si="109"/>
        <v>0</v>
      </c>
      <c r="AK167">
        <v>6780</v>
      </c>
      <c r="AL167">
        <v>6780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89</v>
      </c>
      <c r="AU167">
        <v>52</v>
      </c>
      <c r="AV167">
        <v>1</v>
      </c>
      <c r="AW167">
        <v>1</v>
      </c>
      <c r="AZ167">
        <v>1</v>
      </c>
      <c r="BA167">
        <v>1</v>
      </c>
      <c r="BB167">
        <v>1</v>
      </c>
      <c r="BC167">
        <v>5.66</v>
      </c>
      <c r="BH167">
        <v>3</v>
      </c>
      <c r="BI167">
        <v>1</v>
      </c>
      <c r="BJ167" t="s">
        <v>251</v>
      </c>
      <c r="BM167">
        <v>6001</v>
      </c>
      <c r="BN167">
        <v>0</v>
      </c>
      <c r="BO167" t="s">
        <v>27</v>
      </c>
      <c r="BP167">
        <v>1</v>
      </c>
      <c r="BQ167">
        <v>2</v>
      </c>
      <c r="BR167">
        <v>0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Z167">
        <v>105</v>
      </c>
      <c r="CA167">
        <v>65</v>
      </c>
      <c r="CF167">
        <v>0</v>
      </c>
      <c r="CG167">
        <v>0</v>
      </c>
      <c r="CM167">
        <v>0</v>
      </c>
      <c r="CO167">
        <v>0</v>
      </c>
      <c r="CP167">
        <f t="shared" si="110"/>
        <v>6945.8</v>
      </c>
      <c r="CQ167">
        <f t="shared" si="111"/>
        <v>38374.8</v>
      </c>
      <c r="CR167">
        <f t="shared" si="112"/>
        <v>0</v>
      </c>
      <c r="CS167">
        <f t="shared" si="113"/>
        <v>0</v>
      </c>
      <c r="CT167">
        <f t="shared" si="114"/>
        <v>0</v>
      </c>
      <c r="CU167">
        <f t="shared" si="115"/>
        <v>0</v>
      </c>
      <c r="CV167">
        <f t="shared" si="116"/>
        <v>0</v>
      </c>
      <c r="CW167">
        <f t="shared" si="117"/>
        <v>0</v>
      </c>
      <c r="CX167">
        <f t="shared" si="118"/>
        <v>0</v>
      </c>
      <c r="CY167">
        <f t="shared" si="119"/>
        <v>0</v>
      </c>
      <c r="CZ167">
        <f t="shared" si="120"/>
        <v>0</v>
      </c>
      <c r="DN167">
        <v>0</v>
      </c>
      <c r="DO167">
        <v>0</v>
      </c>
      <c r="DP167">
        <v>1</v>
      </c>
      <c r="DQ167">
        <v>1</v>
      </c>
      <c r="DU167">
        <v>1009</v>
      </c>
      <c r="DV167" t="s">
        <v>246</v>
      </c>
      <c r="DW167" t="s">
        <v>246</v>
      </c>
      <c r="DX167">
        <v>1000</v>
      </c>
      <c r="EE167">
        <v>39125360</v>
      </c>
      <c r="EF167">
        <v>2</v>
      </c>
      <c r="EG167" t="s">
        <v>28</v>
      </c>
      <c r="EH167">
        <v>0</v>
      </c>
      <c r="EJ167">
        <v>1</v>
      </c>
      <c r="EK167">
        <v>6001</v>
      </c>
      <c r="EL167" t="s">
        <v>189</v>
      </c>
      <c r="EM167" t="s">
        <v>190</v>
      </c>
      <c r="EQ167">
        <v>0</v>
      </c>
      <c r="ER167">
        <v>6780</v>
      </c>
      <c r="ES167">
        <v>6780</v>
      </c>
      <c r="ET167">
        <v>0</v>
      </c>
      <c r="EU167">
        <v>0</v>
      </c>
      <c r="EV167">
        <v>0</v>
      </c>
      <c r="EW167">
        <v>0</v>
      </c>
      <c r="EX167">
        <v>0</v>
      </c>
      <c r="FQ167">
        <v>0</v>
      </c>
      <c r="FR167">
        <f t="shared" si="121"/>
        <v>0</v>
      </c>
      <c r="FS167">
        <v>0</v>
      </c>
      <c r="FV167" t="s">
        <v>31</v>
      </c>
      <c r="FW167" t="s">
        <v>32</v>
      </c>
      <c r="FX167">
        <v>105</v>
      </c>
      <c r="FY167">
        <v>65</v>
      </c>
      <c r="GD167">
        <v>0</v>
      </c>
      <c r="GF167">
        <v>1282234864</v>
      </c>
      <c r="GG167">
        <v>2</v>
      </c>
      <c r="GH167">
        <v>1</v>
      </c>
      <c r="GI167">
        <v>4</v>
      </c>
      <c r="GJ167">
        <v>0</v>
      </c>
      <c r="GK167">
        <f>ROUND(R167*(R12)/100,1)</f>
        <v>0</v>
      </c>
      <c r="GL167">
        <f t="shared" si="122"/>
        <v>0</v>
      </c>
      <c r="GM167">
        <f t="shared" si="123"/>
        <v>6945.8</v>
      </c>
      <c r="GN167">
        <f t="shared" si="124"/>
        <v>6945.8</v>
      </c>
      <c r="GO167">
        <f t="shared" si="125"/>
        <v>0</v>
      </c>
      <c r="GP167">
        <f t="shared" si="126"/>
        <v>0</v>
      </c>
      <c r="GR167">
        <v>0</v>
      </c>
      <c r="GS167">
        <v>3</v>
      </c>
      <c r="GT167">
        <v>0</v>
      </c>
      <c r="GV167">
        <f t="shared" si="127"/>
        <v>0</v>
      </c>
      <c r="GW167">
        <v>1</v>
      </c>
      <c r="GX167">
        <f t="shared" si="128"/>
        <v>0</v>
      </c>
      <c r="HA167">
        <v>0</v>
      </c>
      <c r="HB167">
        <v>0</v>
      </c>
      <c r="IK167">
        <v>0</v>
      </c>
    </row>
    <row r="168" spans="1:245" ht="12.75">
      <c r="A168">
        <v>17</v>
      </c>
      <c r="B168">
        <v>1</v>
      </c>
      <c r="C168">
        <f>ROW(SmtRes!A119)</f>
        <v>119</v>
      </c>
      <c r="D168">
        <f>ROW(EtalonRes!A121)</f>
        <v>121</v>
      </c>
      <c r="E168" t="s">
        <v>252</v>
      </c>
      <c r="F168" t="s">
        <v>253</v>
      </c>
      <c r="G168" t="s">
        <v>254</v>
      </c>
      <c r="H168" t="s">
        <v>246</v>
      </c>
      <c r="I168">
        <f>ROUND(0.03,3)</f>
        <v>0.03</v>
      </c>
      <c r="J168">
        <v>0</v>
      </c>
      <c r="O168">
        <f t="shared" si="90"/>
        <v>122.5</v>
      </c>
      <c r="P168">
        <f t="shared" si="91"/>
        <v>48.5</v>
      </c>
      <c r="Q168">
        <f t="shared" si="92"/>
        <v>6.9</v>
      </c>
      <c r="R168">
        <f t="shared" si="93"/>
        <v>2.8</v>
      </c>
      <c r="S168">
        <f t="shared" si="94"/>
        <v>67.1</v>
      </c>
      <c r="T168">
        <f t="shared" si="95"/>
        <v>0</v>
      </c>
      <c r="U168">
        <f t="shared" si="96"/>
        <v>0.3792</v>
      </c>
      <c r="V168">
        <f t="shared" si="97"/>
        <v>0.0114</v>
      </c>
      <c r="W168">
        <f t="shared" si="98"/>
        <v>0</v>
      </c>
      <c r="X168">
        <f t="shared" si="99"/>
        <v>62.2</v>
      </c>
      <c r="Y168">
        <f t="shared" si="100"/>
        <v>36.3</v>
      </c>
      <c r="AA168">
        <v>42253831</v>
      </c>
      <c r="AB168">
        <f t="shared" si="101"/>
        <v>429.97</v>
      </c>
      <c r="AC168">
        <f t="shared" si="129"/>
        <v>285.6</v>
      </c>
      <c r="AD168">
        <f t="shared" si="103"/>
        <v>32.38</v>
      </c>
      <c r="AE168">
        <f t="shared" si="104"/>
        <v>4.71</v>
      </c>
      <c r="AF168">
        <f t="shared" si="105"/>
        <v>111.99</v>
      </c>
      <c r="AG168">
        <f t="shared" si="106"/>
        <v>0</v>
      </c>
      <c r="AH168">
        <f t="shared" si="107"/>
        <v>12.64</v>
      </c>
      <c r="AI168">
        <f t="shared" si="108"/>
        <v>0.38</v>
      </c>
      <c r="AJ168">
        <f t="shared" si="109"/>
        <v>0</v>
      </c>
      <c r="AK168">
        <v>429.97</v>
      </c>
      <c r="AL168">
        <v>285.6</v>
      </c>
      <c r="AM168">
        <v>32.38</v>
      </c>
      <c r="AN168">
        <v>4.71</v>
      </c>
      <c r="AO168">
        <v>111.99</v>
      </c>
      <c r="AP168">
        <v>0</v>
      </c>
      <c r="AQ168">
        <v>12.64</v>
      </c>
      <c r="AR168">
        <v>0.38</v>
      </c>
      <c r="AS168">
        <v>0</v>
      </c>
      <c r="AT168">
        <v>89</v>
      </c>
      <c r="AU168">
        <v>52</v>
      </c>
      <c r="AV168">
        <v>1</v>
      </c>
      <c r="AW168">
        <v>1</v>
      </c>
      <c r="AZ168">
        <v>1</v>
      </c>
      <c r="BA168">
        <v>19.96</v>
      </c>
      <c r="BB168">
        <v>7.11</v>
      </c>
      <c r="BC168">
        <v>5.66</v>
      </c>
      <c r="BH168">
        <v>0</v>
      </c>
      <c r="BI168">
        <v>1</v>
      </c>
      <c r="BJ168" t="s">
        <v>255</v>
      </c>
      <c r="BM168">
        <v>6001</v>
      </c>
      <c r="BN168">
        <v>0</v>
      </c>
      <c r="BO168" t="s">
        <v>27</v>
      </c>
      <c r="BP168">
        <v>1</v>
      </c>
      <c r="BQ168">
        <v>2</v>
      </c>
      <c r="BR168">
        <v>0</v>
      </c>
      <c r="BS168">
        <v>19.96</v>
      </c>
      <c r="BT168">
        <v>1</v>
      </c>
      <c r="BU168">
        <v>1</v>
      </c>
      <c r="BV168">
        <v>1</v>
      </c>
      <c r="BW168">
        <v>1</v>
      </c>
      <c r="BX168">
        <v>1</v>
      </c>
      <c r="BZ168">
        <v>105</v>
      </c>
      <c r="CA168">
        <v>65</v>
      </c>
      <c r="CF168">
        <v>0</v>
      </c>
      <c r="CG168">
        <v>0</v>
      </c>
      <c r="CM168">
        <v>0</v>
      </c>
      <c r="CO168">
        <v>0</v>
      </c>
      <c r="CP168">
        <f t="shared" si="110"/>
        <v>122.5</v>
      </c>
      <c r="CQ168">
        <f t="shared" si="111"/>
        <v>1616.496</v>
      </c>
      <c r="CR168">
        <f t="shared" si="112"/>
        <v>230.22180000000003</v>
      </c>
      <c r="CS168">
        <f t="shared" si="113"/>
        <v>94.0116</v>
      </c>
      <c r="CT168">
        <f t="shared" si="114"/>
        <v>2235.3204</v>
      </c>
      <c r="CU168">
        <f t="shared" si="115"/>
        <v>0</v>
      </c>
      <c r="CV168">
        <f t="shared" si="116"/>
        <v>12.64</v>
      </c>
      <c r="CW168">
        <f t="shared" si="117"/>
        <v>0.38</v>
      </c>
      <c r="CX168">
        <f t="shared" si="118"/>
        <v>0</v>
      </c>
      <c r="CY168">
        <f t="shared" si="119"/>
        <v>62.21099999999999</v>
      </c>
      <c r="CZ168">
        <f t="shared" si="120"/>
        <v>36.348</v>
      </c>
      <c r="DN168">
        <v>0</v>
      </c>
      <c r="DO168">
        <v>0</v>
      </c>
      <c r="DP168">
        <v>1</v>
      </c>
      <c r="DQ168">
        <v>1</v>
      </c>
      <c r="DU168">
        <v>1009</v>
      </c>
      <c r="DV168" t="s">
        <v>246</v>
      </c>
      <c r="DW168" t="s">
        <v>246</v>
      </c>
      <c r="DX168">
        <v>1000</v>
      </c>
      <c r="EE168">
        <v>39125360</v>
      </c>
      <c r="EF168">
        <v>2</v>
      </c>
      <c r="EG168" t="s">
        <v>28</v>
      </c>
      <c r="EH168">
        <v>0</v>
      </c>
      <c r="EJ168">
        <v>1</v>
      </c>
      <c r="EK168">
        <v>6001</v>
      </c>
      <c r="EL168" t="s">
        <v>189</v>
      </c>
      <c r="EM168" t="s">
        <v>190</v>
      </c>
      <c r="EQ168">
        <v>0</v>
      </c>
      <c r="ER168">
        <v>429.97</v>
      </c>
      <c r="ES168">
        <v>285.6</v>
      </c>
      <c r="ET168">
        <v>32.38</v>
      </c>
      <c r="EU168">
        <v>4.71</v>
      </c>
      <c r="EV168">
        <v>111.99</v>
      </c>
      <c r="EW168">
        <v>12.64</v>
      </c>
      <c r="EX168">
        <v>0.38</v>
      </c>
      <c r="EY168">
        <v>0</v>
      </c>
      <c r="FQ168">
        <v>0</v>
      </c>
      <c r="FR168">
        <f t="shared" si="121"/>
        <v>0</v>
      </c>
      <c r="FS168">
        <v>0</v>
      </c>
      <c r="FV168" t="s">
        <v>31</v>
      </c>
      <c r="FW168" t="s">
        <v>32</v>
      </c>
      <c r="FX168">
        <v>105</v>
      </c>
      <c r="FY168">
        <v>65</v>
      </c>
      <c r="GD168">
        <v>0</v>
      </c>
      <c r="GF168">
        <v>-2016543000</v>
      </c>
      <c r="GG168">
        <v>2</v>
      </c>
      <c r="GH168">
        <v>1</v>
      </c>
      <c r="GI168">
        <v>4</v>
      </c>
      <c r="GJ168">
        <v>0</v>
      </c>
      <c r="GK168">
        <f>ROUND(R168*(R12)/100,1)</f>
        <v>0</v>
      </c>
      <c r="GL168">
        <f t="shared" si="122"/>
        <v>0</v>
      </c>
      <c r="GM168">
        <f t="shared" si="123"/>
        <v>221</v>
      </c>
      <c r="GN168">
        <f t="shared" si="124"/>
        <v>221</v>
      </c>
      <c r="GO168">
        <f t="shared" si="125"/>
        <v>0</v>
      </c>
      <c r="GP168">
        <f t="shared" si="126"/>
        <v>0</v>
      </c>
      <c r="GR168">
        <v>0</v>
      </c>
      <c r="GS168">
        <v>3</v>
      </c>
      <c r="GT168">
        <v>0</v>
      </c>
      <c r="GV168">
        <f t="shared" si="127"/>
        <v>0</v>
      </c>
      <c r="GW168">
        <v>19.96</v>
      </c>
      <c r="GX168">
        <f t="shared" si="128"/>
        <v>0</v>
      </c>
      <c r="HA168">
        <v>0</v>
      </c>
      <c r="HB168">
        <v>0</v>
      </c>
      <c r="IK168">
        <v>0</v>
      </c>
    </row>
    <row r="169" spans="1:245" ht="12.75">
      <c r="A169">
        <v>18</v>
      </c>
      <c r="B169">
        <v>1</v>
      </c>
      <c r="C169">
        <v>119</v>
      </c>
      <c r="E169" t="s">
        <v>256</v>
      </c>
      <c r="F169" t="s">
        <v>257</v>
      </c>
      <c r="G169" t="s">
        <v>258</v>
      </c>
      <c r="H169" t="s">
        <v>246</v>
      </c>
      <c r="I169">
        <f>I168*J169</f>
        <v>0.03</v>
      </c>
      <c r="J169">
        <v>1</v>
      </c>
      <c r="O169">
        <f t="shared" si="90"/>
        <v>1105.2</v>
      </c>
      <c r="P169">
        <f t="shared" si="91"/>
        <v>1105.2</v>
      </c>
      <c r="Q169">
        <f t="shared" si="92"/>
        <v>0</v>
      </c>
      <c r="R169">
        <f t="shared" si="93"/>
        <v>0</v>
      </c>
      <c r="S169">
        <f t="shared" si="94"/>
        <v>0</v>
      </c>
      <c r="T169">
        <f t="shared" si="95"/>
        <v>0</v>
      </c>
      <c r="U169">
        <f t="shared" si="96"/>
        <v>0</v>
      </c>
      <c r="V169">
        <f t="shared" si="97"/>
        <v>0</v>
      </c>
      <c r="W169">
        <f t="shared" si="98"/>
        <v>0</v>
      </c>
      <c r="X169">
        <f t="shared" si="99"/>
        <v>0</v>
      </c>
      <c r="Y169">
        <f t="shared" si="100"/>
        <v>0</v>
      </c>
      <c r="AA169">
        <v>42253831</v>
      </c>
      <c r="AB169">
        <f t="shared" si="101"/>
        <v>6508.75</v>
      </c>
      <c r="AC169">
        <f t="shared" si="129"/>
        <v>6508.75</v>
      </c>
      <c r="AD169">
        <f t="shared" si="103"/>
        <v>0</v>
      </c>
      <c r="AE169">
        <f t="shared" si="104"/>
        <v>0</v>
      </c>
      <c r="AF169">
        <f t="shared" si="105"/>
        <v>0</v>
      </c>
      <c r="AG169">
        <f t="shared" si="106"/>
        <v>0</v>
      </c>
      <c r="AH169">
        <f t="shared" si="107"/>
        <v>0</v>
      </c>
      <c r="AI169">
        <f t="shared" si="108"/>
        <v>0</v>
      </c>
      <c r="AJ169">
        <f t="shared" si="109"/>
        <v>0</v>
      </c>
      <c r="AK169">
        <v>6508.75</v>
      </c>
      <c r="AL169">
        <v>6508.75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89</v>
      </c>
      <c r="AU169">
        <v>52</v>
      </c>
      <c r="AV169">
        <v>1</v>
      </c>
      <c r="AW169">
        <v>1</v>
      </c>
      <c r="AZ169">
        <v>1</v>
      </c>
      <c r="BA169">
        <v>1</v>
      </c>
      <c r="BB169">
        <v>1</v>
      </c>
      <c r="BC169">
        <v>5.66</v>
      </c>
      <c r="BH169">
        <v>3</v>
      </c>
      <c r="BI169">
        <v>1</v>
      </c>
      <c r="BJ169" t="s">
        <v>259</v>
      </c>
      <c r="BM169">
        <v>6001</v>
      </c>
      <c r="BN169">
        <v>0</v>
      </c>
      <c r="BO169" t="s">
        <v>27</v>
      </c>
      <c r="BP169">
        <v>1</v>
      </c>
      <c r="BQ169">
        <v>2</v>
      </c>
      <c r="BR169">
        <v>0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Z169">
        <v>105</v>
      </c>
      <c r="CA169">
        <v>65</v>
      </c>
      <c r="CF169">
        <v>0</v>
      </c>
      <c r="CG169">
        <v>0</v>
      </c>
      <c r="CM169">
        <v>0</v>
      </c>
      <c r="CO169">
        <v>0</v>
      </c>
      <c r="CP169">
        <f t="shared" si="110"/>
        <v>1105.2</v>
      </c>
      <c r="CQ169">
        <f t="shared" si="111"/>
        <v>36839.525</v>
      </c>
      <c r="CR169">
        <f t="shared" si="112"/>
        <v>0</v>
      </c>
      <c r="CS169">
        <f t="shared" si="113"/>
        <v>0</v>
      </c>
      <c r="CT169">
        <f t="shared" si="114"/>
        <v>0</v>
      </c>
      <c r="CU169">
        <f t="shared" si="115"/>
        <v>0</v>
      </c>
      <c r="CV169">
        <f t="shared" si="116"/>
        <v>0</v>
      </c>
      <c r="CW169">
        <f t="shared" si="117"/>
        <v>0</v>
      </c>
      <c r="CX169">
        <f t="shared" si="118"/>
        <v>0</v>
      </c>
      <c r="CY169">
        <f t="shared" si="119"/>
        <v>0</v>
      </c>
      <c r="CZ169">
        <f t="shared" si="120"/>
        <v>0</v>
      </c>
      <c r="DN169">
        <v>0</v>
      </c>
      <c r="DO169">
        <v>0</v>
      </c>
      <c r="DP169">
        <v>1</v>
      </c>
      <c r="DQ169">
        <v>1</v>
      </c>
      <c r="DU169">
        <v>1009</v>
      </c>
      <c r="DV169" t="s">
        <v>246</v>
      </c>
      <c r="DW169" t="s">
        <v>246</v>
      </c>
      <c r="DX169">
        <v>1000</v>
      </c>
      <c r="EE169">
        <v>39125360</v>
      </c>
      <c r="EF169">
        <v>2</v>
      </c>
      <c r="EG169" t="s">
        <v>28</v>
      </c>
      <c r="EH169">
        <v>0</v>
      </c>
      <c r="EJ169">
        <v>1</v>
      </c>
      <c r="EK169">
        <v>6001</v>
      </c>
      <c r="EL169" t="s">
        <v>189</v>
      </c>
      <c r="EM169" t="s">
        <v>190</v>
      </c>
      <c r="EQ169">
        <v>0</v>
      </c>
      <c r="ER169">
        <v>6508.75</v>
      </c>
      <c r="ES169">
        <v>6508.75</v>
      </c>
      <c r="ET169">
        <v>0</v>
      </c>
      <c r="EU169">
        <v>0</v>
      </c>
      <c r="EV169">
        <v>0</v>
      </c>
      <c r="EW169">
        <v>0</v>
      </c>
      <c r="EX169">
        <v>0</v>
      </c>
      <c r="FQ169">
        <v>0</v>
      </c>
      <c r="FR169">
        <f t="shared" si="121"/>
        <v>0</v>
      </c>
      <c r="FS169">
        <v>0</v>
      </c>
      <c r="FV169" t="s">
        <v>31</v>
      </c>
      <c r="FW169" t="s">
        <v>32</v>
      </c>
      <c r="FX169">
        <v>105</v>
      </c>
      <c r="FY169">
        <v>65</v>
      </c>
      <c r="GD169">
        <v>0</v>
      </c>
      <c r="GF169">
        <v>1969538235</v>
      </c>
      <c r="GG169">
        <v>2</v>
      </c>
      <c r="GH169">
        <v>1</v>
      </c>
      <c r="GI169">
        <v>4</v>
      </c>
      <c r="GJ169">
        <v>0</v>
      </c>
      <c r="GK169">
        <f>ROUND(R169*(R12)/100,1)</f>
        <v>0</v>
      </c>
      <c r="GL169">
        <f t="shared" si="122"/>
        <v>0</v>
      </c>
      <c r="GM169">
        <f t="shared" si="123"/>
        <v>1105.2</v>
      </c>
      <c r="GN169">
        <f t="shared" si="124"/>
        <v>1105.2</v>
      </c>
      <c r="GO169">
        <f t="shared" si="125"/>
        <v>0</v>
      </c>
      <c r="GP169">
        <f t="shared" si="126"/>
        <v>0</v>
      </c>
      <c r="GR169">
        <v>0</v>
      </c>
      <c r="GS169">
        <v>3</v>
      </c>
      <c r="GT169">
        <v>0</v>
      </c>
      <c r="GV169">
        <f t="shared" si="127"/>
        <v>0</v>
      </c>
      <c r="GW169">
        <v>1</v>
      </c>
      <c r="GX169">
        <f t="shared" si="128"/>
        <v>0</v>
      </c>
      <c r="HA169">
        <v>0</v>
      </c>
      <c r="HB169">
        <v>0</v>
      </c>
      <c r="IK169">
        <v>0</v>
      </c>
    </row>
    <row r="170" spans="1:245" ht="12.75">
      <c r="A170">
        <v>17</v>
      </c>
      <c r="B170">
        <v>1</v>
      </c>
      <c r="C170">
        <f>ROW(SmtRes!A134)</f>
        <v>134</v>
      </c>
      <c r="D170">
        <f>ROW(EtalonRes!A136)</f>
        <v>136</v>
      </c>
      <c r="E170" t="s">
        <v>260</v>
      </c>
      <c r="F170" t="s">
        <v>261</v>
      </c>
      <c r="G170" t="s">
        <v>262</v>
      </c>
      <c r="H170" t="s">
        <v>25</v>
      </c>
      <c r="I170">
        <f>ROUND(0.5,3)</f>
        <v>0.5</v>
      </c>
      <c r="J170">
        <v>0</v>
      </c>
      <c r="O170">
        <f t="shared" si="90"/>
        <v>23264.3</v>
      </c>
      <c r="P170">
        <f t="shared" si="91"/>
        <v>7374.2</v>
      </c>
      <c r="Q170">
        <f t="shared" si="92"/>
        <v>281.7</v>
      </c>
      <c r="R170">
        <f t="shared" si="93"/>
        <v>525.7</v>
      </c>
      <c r="S170">
        <f t="shared" si="94"/>
        <v>15608.4</v>
      </c>
      <c r="T170">
        <f t="shared" si="95"/>
        <v>0</v>
      </c>
      <c r="U170">
        <f t="shared" si="96"/>
        <v>76.59</v>
      </c>
      <c r="V170">
        <f t="shared" si="97"/>
        <v>2.58</v>
      </c>
      <c r="W170">
        <f t="shared" si="98"/>
        <v>0</v>
      </c>
      <c r="X170">
        <f t="shared" si="99"/>
        <v>16940.8</v>
      </c>
      <c r="Y170">
        <f t="shared" si="100"/>
        <v>9680.5</v>
      </c>
      <c r="AA170">
        <v>42253831</v>
      </c>
      <c r="AB170">
        <f t="shared" si="101"/>
        <v>4248.94</v>
      </c>
      <c r="AC170">
        <f t="shared" si="129"/>
        <v>2605.74</v>
      </c>
      <c r="AD170">
        <f t="shared" si="103"/>
        <v>79.23</v>
      </c>
      <c r="AE170">
        <f t="shared" si="104"/>
        <v>52.68</v>
      </c>
      <c r="AF170">
        <f t="shared" si="105"/>
        <v>1563.97</v>
      </c>
      <c r="AG170">
        <f t="shared" si="106"/>
        <v>0</v>
      </c>
      <c r="AH170">
        <f t="shared" si="107"/>
        <v>153.18</v>
      </c>
      <c r="AI170">
        <f t="shared" si="108"/>
        <v>5.16</v>
      </c>
      <c r="AJ170">
        <f t="shared" si="109"/>
        <v>0</v>
      </c>
      <c r="AK170">
        <v>4248.94</v>
      </c>
      <c r="AL170">
        <v>2605.74</v>
      </c>
      <c r="AM170">
        <v>79.23</v>
      </c>
      <c r="AN170">
        <v>52.68</v>
      </c>
      <c r="AO170">
        <v>1563.97</v>
      </c>
      <c r="AP170">
        <v>0</v>
      </c>
      <c r="AQ170">
        <v>153.18</v>
      </c>
      <c r="AR170">
        <v>5.16</v>
      </c>
      <c r="AS170">
        <v>0</v>
      </c>
      <c r="AT170">
        <v>105</v>
      </c>
      <c r="AU170">
        <v>60</v>
      </c>
      <c r="AV170">
        <v>1</v>
      </c>
      <c r="AW170">
        <v>1</v>
      </c>
      <c r="AZ170">
        <v>1</v>
      </c>
      <c r="BA170">
        <v>19.96</v>
      </c>
      <c r="BB170">
        <v>7.11</v>
      </c>
      <c r="BC170">
        <v>5.66</v>
      </c>
      <c r="BH170">
        <v>0</v>
      </c>
      <c r="BI170">
        <v>1</v>
      </c>
      <c r="BJ170" t="s">
        <v>263</v>
      </c>
      <c r="BM170">
        <v>11001</v>
      </c>
      <c r="BN170">
        <v>0</v>
      </c>
      <c r="BO170" t="s">
        <v>27</v>
      </c>
      <c r="BP170">
        <v>1</v>
      </c>
      <c r="BQ170">
        <v>2</v>
      </c>
      <c r="BR170">
        <v>0</v>
      </c>
      <c r="BS170">
        <v>19.96</v>
      </c>
      <c r="BT170">
        <v>1</v>
      </c>
      <c r="BU170">
        <v>1</v>
      </c>
      <c r="BV170">
        <v>1</v>
      </c>
      <c r="BW170">
        <v>1</v>
      </c>
      <c r="BX170">
        <v>1</v>
      </c>
      <c r="BZ170">
        <v>123</v>
      </c>
      <c r="CA170">
        <v>75</v>
      </c>
      <c r="CF170">
        <v>0</v>
      </c>
      <c r="CG170">
        <v>0</v>
      </c>
      <c r="CM170">
        <v>0</v>
      </c>
      <c r="CO170">
        <v>0</v>
      </c>
      <c r="CP170">
        <f t="shared" si="110"/>
        <v>23264.3</v>
      </c>
      <c r="CQ170">
        <f t="shared" si="111"/>
        <v>14748.488399999998</v>
      </c>
      <c r="CR170">
        <f t="shared" si="112"/>
        <v>563.3253000000001</v>
      </c>
      <c r="CS170">
        <f t="shared" si="113"/>
        <v>1051.4928</v>
      </c>
      <c r="CT170">
        <f t="shared" si="114"/>
        <v>31216.841200000003</v>
      </c>
      <c r="CU170">
        <f t="shared" si="115"/>
        <v>0</v>
      </c>
      <c r="CV170">
        <f t="shared" si="116"/>
        <v>153.18</v>
      </c>
      <c r="CW170">
        <f t="shared" si="117"/>
        <v>5.16</v>
      </c>
      <c r="CX170">
        <f t="shared" si="118"/>
        <v>0</v>
      </c>
      <c r="CY170">
        <f t="shared" si="119"/>
        <v>16940.805</v>
      </c>
      <c r="CZ170">
        <f t="shared" si="120"/>
        <v>9680.46</v>
      </c>
      <c r="DN170">
        <v>0</v>
      </c>
      <c r="DO170">
        <v>0</v>
      </c>
      <c r="DP170">
        <v>1</v>
      </c>
      <c r="DQ170">
        <v>1</v>
      </c>
      <c r="DU170">
        <v>1005</v>
      </c>
      <c r="DV170" t="s">
        <v>25</v>
      </c>
      <c r="DW170" t="s">
        <v>25</v>
      </c>
      <c r="DX170">
        <v>100</v>
      </c>
      <c r="EE170">
        <v>39125374</v>
      </c>
      <c r="EF170">
        <v>2</v>
      </c>
      <c r="EG170" t="s">
        <v>28</v>
      </c>
      <c r="EH170">
        <v>0</v>
      </c>
      <c r="EJ170">
        <v>1</v>
      </c>
      <c r="EK170">
        <v>11001</v>
      </c>
      <c r="EL170" t="s">
        <v>264</v>
      </c>
      <c r="EM170" t="s">
        <v>265</v>
      </c>
      <c r="EQ170">
        <v>0</v>
      </c>
      <c r="ER170">
        <v>4248.94</v>
      </c>
      <c r="ES170">
        <v>2605.74</v>
      </c>
      <c r="ET170">
        <v>79.23</v>
      </c>
      <c r="EU170">
        <v>52.68</v>
      </c>
      <c r="EV170">
        <v>1563.97</v>
      </c>
      <c r="EW170">
        <v>153.18</v>
      </c>
      <c r="EX170">
        <v>5.16</v>
      </c>
      <c r="EY170">
        <v>0</v>
      </c>
      <c r="FQ170">
        <v>0</v>
      </c>
      <c r="FR170">
        <f t="shared" si="121"/>
        <v>0</v>
      </c>
      <c r="FS170">
        <v>0</v>
      </c>
      <c r="FV170" t="s">
        <v>31</v>
      </c>
      <c r="FW170" t="s">
        <v>32</v>
      </c>
      <c r="FX170">
        <v>123</v>
      </c>
      <c r="FY170">
        <v>75</v>
      </c>
      <c r="GD170">
        <v>0</v>
      </c>
      <c r="GF170">
        <v>67671306</v>
      </c>
      <c r="GG170">
        <v>2</v>
      </c>
      <c r="GH170">
        <v>1</v>
      </c>
      <c r="GI170">
        <v>4</v>
      </c>
      <c r="GJ170">
        <v>0</v>
      </c>
      <c r="GK170">
        <f>ROUND(R170*(R12)/100,1)</f>
        <v>0</v>
      </c>
      <c r="GL170">
        <f t="shared" si="122"/>
        <v>0</v>
      </c>
      <c r="GM170">
        <f t="shared" si="123"/>
        <v>49885.6</v>
      </c>
      <c r="GN170">
        <f t="shared" si="124"/>
        <v>49885.6</v>
      </c>
      <c r="GO170">
        <f t="shared" si="125"/>
        <v>0</v>
      </c>
      <c r="GP170">
        <f t="shared" si="126"/>
        <v>0</v>
      </c>
      <c r="GR170">
        <v>0</v>
      </c>
      <c r="GS170">
        <v>3</v>
      </c>
      <c r="GT170">
        <v>0</v>
      </c>
      <c r="GV170">
        <f t="shared" si="127"/>
        <v>0</v>
      </c>
      <c r="GW170">
        <v>19.96</v>
      </c>
      <c r="GX170">
        <f t="shared" si="128"/>
        <v>0</v>
      </c>
      <c r="HA170">
        <v>0</v>
      </c>
      <c r="HB170">
        <v>0</v>
      </c>
      <c r="IK170">
        <v>0</v>
      </c>
    </row>
    <row r="171" spans="1:245" ht="12.75">
      <c r="A171">
        <v>17</v>
      </c>
      <c r="B171">
        <v>1</v>
      </c>
      <c r="C171">
        <f>ROW(SmtRes!A142)</f>
        <v>142</v>
      </c>
      <c r="D171">
        <f>ROW(EtalonRes!A144)</f>
        <v>144</v>
      </c>
      <c r="E171" t="s">
        <v>266</v>
      </c>
      <c r="F171" t="s">
        <v>267</v>
      </c>
      <c r="G171" t="s">
        <v>268</v>
      </c>
      <c r="H171" t="s">
        <v>25</v>
      </c>
      <c r="I171">
        <f>ROUND(1.7,3)</f>
        <v>1.7</v>
      </c>
      <c r="J171">
        <v>0</v>
      </c>
      <c r="O171">
        <f t="shared" si="90"/>
        <v>16352.1</v>
      </c>
      <c r="P171">
        <f t="shared" si="91"/>
        <v>8645.2</v>
      </c>
      <c r="Q171">
        <f t="shared" si="92"/>
        <v>865.9</v>
      </c>
      <c r="R171">
        <f t="shared" si="93"/>
        <v>78.7</v>
      </c>
      <c r="S171">
        <f t="shared" si="94"/>
        <v>6841</v>
      </c>
      <c r="T171">
        <f t="shared" si="95"/>
        <v>0</v>
      </c>
      <c r="U171">
        <f t="shared" si="96"/>
        <v>36.04</v>
      </c>
      <c r="V171">
        <f t="shared" si="97"/>
        <v>0.34</v>
      </c>
      <c r="W171">
        <f t="shared" si="98"/>
        <v>0</v>
      </c>
      <c r="X171">
        <f t="shared" si="99"/>
        <v>7196.5</v>
      </c>
      <c r="Y171">
        <f t="shared" si="100"/>
        <v>4428.6</v>
      </c>
      <c r="AA171">
        <v>42253831</v>
      </c>
      <c r="AB171">
        <f t="shared" si="101"/>
        <v>1171.73</v>
      </c>
      <c r="AC171">
        <f t="shared" si="129"/>
        <v>898.48</v>
      </c>
      <c r="AD171">
        <f t="shared" si="103"/>
        <v>71.64</v>
      </c>
      <c r="AE171">
        <f t="shared" si="104"/>
        <v>2.32</v>
      </c>
      <c r="AF171">
        <f t="shared" si="105"/>
        <v>201.61</v>
      </c>
      <c r="AG171">
        <f t="shared" si="106"/>
        <v>0</v>
      </c>
      <c r="AH171">
        <f t="shared" si="107"/>
        <v>21.2</v>
      </c>
      <c r="AI171">
        <f t="shared" si="108"/>
        <v>0.2</v>
      </c>
      <c r="AJ171">
        <f t="shared" si="109"/>
        <v>0</v>
      </c>
      <c r="AK171">
        <v>1171.73</v>
      </c>
      <c r="AL171">
        <v>898.48</v>
      </c>
      <c r="AM171">
        <v>71.64</v>
      </c>
      <c r="AN171">
        <v>2.32</v>
      </c>
      <c r="AO171">
        <v>201.61</v>
      </c>
      <c r="AP171">
        <v>0</v>
      </c>
      <c r="AQ171">
        <v>21.2</v>
      </c>
      <c r="AR171">
        <v>0.2</v>
      </c>
      <c r="AS171">
        <v>0</v>
      </c>
      <c r="AT171">
        <v>104</v>
      </c>
      <c r="AU171">
        <v>64</v>
      </c>
      <c r="AV171">
        <v>1</v>
      </c>
      <c r="AW171">
        <v>1</v>
      </c>
      <c r="AZ171">
        <v>1</v>
      </c>
      <c r="BA171">
        <v>19.96</v>
      </c>
      <c r="BB171">
        <v>7.11</v>
      </c>
      <c r="BC171">
        <v>5.66</v>
      </c>
      <c r="BH171">
        <v>0</v>
      </c>
      <c r="BI171">
        <v>1</v>
      </c>
      <c r="BJ171" t="s">
        <v>269</v>
      </c>
      <c r="BM171">
        <v>8001</v>
      </c>
      <c r="BN171">
        <v>0</v>
      </c>
      <c r="BO171" t="s">
        <v>27</v>
      </c>
      <c r="BP171">
        <v>1</v>
      </c>
      <c r="BQ171">
        <v>2</v>
      </c>
      <c r="BR171">
        <v>0</v>
      </c>
      <c r="BS171">
        <v>19.96</v>
      </c>
      <c r="BT171">
        <v>1</v>
      </c>
      <c r="BU171">
        <v>1</v>
      </c>
      <c r="BV171">
        <v>1</v>
      </c>
      <c r="BW171">
        <v>1</v>
      </c>
      <c r="BX171">
        <v>1</v>
      </c>
      <c r="BZ171">
        <v>122</v>
      </c>
      <c r="CA171">
        <v>80</v>
      </c>
      <c r="CF171">
        <v>0</v>
      </c>
      <c r="CG171">
        <v>0</v>
      </c>
      <c r="CM171">
        <v>0</v>
      </c>
      <c r="CO171">
        <v>0</v>
      </c>
      <c r="CP171">
        <f t="shared" si="110"/>
        <v>16352.1</v>
      </c>
      <c r="CQ171">
        <f t="shared" si="111"/>
        <v>5085.3968</v>
      </c>
      <c r="CR171">
        <f t="shared" si="112"/>
        <v>509.3604</v>
      </c>
      <c r="CS171">
        <f t="shared" si="113"/>
        <v>46.3072</v>
      </c>
      <c r="CT171">
        <f t="shared" si="114"/>
        <v>4024.1356000000005</v>
      </c>
      <c r="CU171">
        <f t="shared" si="115"/>
        <v>0</v>
      </c>
      <c r="CV171">
        <f t="shared" si="116"/>
        <v>21.2</v>
      </c>
      <c r="CW171">
        <f t="shared" si="117"/>
        <v>0.2</v>
      </c>
      <c r="CX171">
        <f t="shared" si="118"/>
        <v>0</v>
      </c>
      <c r="CY171">
        <f t="shared" si="119"/>
        <v>7196.487999999999</v>
      </c>
      <c r="CZ171">
        <f t="shared" si="120"/>
        <v>4428.608</v>
      </c>
      <c r="DN171">
        <v>0</v>
      </c>
      <c r="DO171">
        <v>0</v>
      </c>
      <c r="DP171">
        <v>1</v>
      </c>
      <c r="DQ171">
        <v>1</v>
      </c>
      <c r="DU171">
        <v>1005</v>
      </c>
      <c r="DV171" t="s">
        <v>25</v>
      </c>
      <c r="DW171" t="s">
        <v>25</v>
      </c>
      <c r="DX171">
        <v>100</v>
      </c>
      <c r="EE171">
        <v>39125371</v>
      </c>
      <c r="EF171">
        <v>2</v>
      </c>
      <c r="EG171" t="s">
        <v>28</v>
      </c>
      <c r="EH171">
        <v>0</v>
      </c>
      <c r="EJ171">
        <v>1</v>
      </c>
      <c r="EK171">
        <v>8001</v>
      </c>
      <c r="EL171" t="s">
        <v>270</v>
      </c>
      <c r="EM171" t="s">
        <v>271</v>
      </c>
      <c r="EQ171">
        <v>0</v>
      </c>
      <c r="ER171">
        <v>1171.73</v>
      </c>
      <c r="ES171">
        <v>898.48</v>
      </c>
      <c r="ET171">
        <v>71.64</v>
      </c>
      <c r="EU171">
        <v>2.32</v>
      </c>
      <c r="EV171">
        <v>201.61</v>
      </c>
      <c r="EW171">
        <v>21.2</v>
      </c>
      <c r="EX171">
        <v>0.2</v>
      </c>
      <c r="EY171">
        <v>0</v>
      </c>
      <c r="FQ171">
        <v>0</v>
      </c>
      <c r="FR171">
        <f t="shared" si="121"/>
        <v>0</v>
      </c>
      <c r="FS171">
        <v>0</v>
      </c>
      <c r="FV171" t="s">
        <v>31</v>
      </c>
      <c r="FW171" t="s">
        <v>32</v>
      </c>
      <c r="FX171">
        <v>122</v>
      </c>
      <c r="FY171">
        <v>80</v>
      </c>
      <c r="GD171">
        <v>0</v>
      </c>
      <c r="GF171">
        <v>1759428638</v>
      </c>
      <c r="GG171">
        <v>2</v>
      </c>
      <c r="GH171">
        <v>1</v>
      </c>
      <c r="GI171">
        <v>4</v>
      </c>
      <c r="GJ171">
        <v>0</v>
      </c>
      <c r="GK171">
        <f>ROUND(R171*(R12)/100,1)</f>
        <v>0</v>
      </c>
      <c r="GL171">
        <f t="shared" si="122"/>
        <v>0</v>
      </c>
      <c r="GM171">
        <f t="shared" si="123"/>
        <v>27977.2</v>
      </c>
      <c r="GN171">
        <f t="shared" si="124"/>
        <v>27977.2</v>
      </c>
      <c r="GO171">
        <f t="shared" si="125"/>
        <v>0</v>
      </c>
      <c r="GP171">
        <f t="shared" si="126"/>
        <v>0</v>
      </c>
      <c r="GR171">
        <v>0</v>
      </c>
      <c r="GS171">
        <v>3</v>
      </c>
      <c r="GT171">
        <v>0</v>
      </c>
      <c r="GV171">
        <f t="shared" si="127"/>
        <v>0</v>
      </c>
      <c r="GW171">
        <v>19.96</v>
      </c>
      <c r="GX171">
        <f t="shared" si="128"/>
        <v>0</v>
      </c>
      <c r="HA171">
        <v>0</v>
      </c>
      <c r="HB171">
        <v>0</v>
      </c>
      <c r="IK171">
        <v>0</v>
      </c>
    </row>
    <row r="172" spans="1:245" ht="12.75">
      <c r="A172">
        <v>19</v>
      </c>
      <c r="B172">
        <v>1</v>
      </c>
      <c r="G172" t="s">
        <v>272</v>
      </c>
      <c r="AA172">
        <v>1</v>
      </c>
      <c r="IK172">
        <v>0</v>
      </c>
    </row>
    <row r="173" spans="1:245" ht="12.75">
      <c r="A173">
        <v>17</v>
      </c>
      <c r="B173">
        <v>1</v>
      </c>
      <c r="C173">
        <f>ROW(SmtRes!A150)</f>
        <v>150</v>
      </c>
      <c r="D173">
        <f>ROW(EtalonRes!A152)</f>
        <v>152</v>
      </c>
      <c r="E173" t="s">
        <v>273</v>
      </c>
      <c r="F173" t="s">
        <v>186</v>
      </c>
      <c r="G173" t="s">
        <v>274</v>
      </c>
      <c r="H173" t="s">
        <v>114</v>
      </c>
      <c r="I173">
        <f>ROUND(0.03,3)</f>
        <v>0.03</v>
      </c>
      <c r="J173">
        <v>0</v>
      </c>
      <c r="O173">
        <f>ROUND(CP173,1)</f>
        <v>1333.2</v>
      </c>
      <c r="P173">
        <f>ROUND(CQ173*I173,1)</f>
        <v>153.8</v>
      </c>
      <c r="Q173">
        <f>ROUND(CR173*I173,1)</f>
        <v>338.7</v>
      </c>
      <c r="R173">
        <f>ROUND(CS173*I173,1)</f>
        <v>146.4</v>
      </c>
      <c r="S173">
        <f>ROUND(CT173*I173,1)</f>
        <v>840.7</v>
      </c>
      <c r="T173">
        <f>ROUND(CU173*I173,1)</f>
        <v>0</v>
      </c>
      <c r="U173">
        <f>CV173*I173</f>
        <v>5.3999999999999995</v>
      </c>
      <c r="V173">
        <f>CW173*I173</f>
        <v>0.5438999999999999</v>
      </c>
      <c r="W173">
        <f>ROUND(CX173*I173,1)</f>
        <v>0</v>
      </c>
      <c r="X173">
        <f>ROUND(CY173,1)</f>
        <v>878.5</v>
      </c>
      <c r="Y173">
        <f>ROUND(CZ173,1)</f>
        <v>513.3</v>
      </c>
      <c r="AA173">
        <v>42253831</v>
      </c>
      <c r="AB173">
        <f>ROUND((AC173+AD173+AF173),6)</f>
        <v>3897.23</v>
      </c>
      <c r="AC173">
        <f>ROUND((ES173),6)</f>
        <v>905.49</v>
      </c>
      <c r="AD173">
        <f>ROUND((((ET173)-(EU173))+AE173),6)</f>
        <v>1587.74</v>
      </c>
      <c r="AE173">
        <f>ROUND((EU173),6)</f>
        <v>244.51</v>
      </c>
      <c r="AF173">
        <f>ROUND((EV173),6)</f>
        <v>1404</v>
      </c>
      <c r="AG173">
        <f>ROUND((AP173),6)</f>
        <v>0</v>
      </c>
      <c r="AH173">
        <f>(EW173)</f>
        <v>180</v>
      </c>
      <c r="AI173">
        <f>(EX173)</f>
        <v>18.13</v>
      </c>
      <c r="AJ173">
        <f>ROUND((AS173),6)</f>
        <v>0</v>
      </c>
      <c r="AK173">
        <v>3897.23</v>
      </c>
      <c r="AL173">
        <v>905.49</v>
      </c>
      <c r="AM173">
        <v>1587.74</v>
      </c>
      <c r="AN173">
        <v>244.51</v>
      </c>
      <c r="AO173">
        <v>1404</v>
      </c>
      <c r="AP173">
        <v>0</v>
      </c>
      <c r="AQ173">
        <v>180</v>
      </c>
      <c r="AR173">
        <v>18.13</v>
      </c>
      <c r="AS173">
        <v>0</v>
      </c>
      <c r="AT173">
        <v>89</v>
      </c>
      <c r="AU173">
        <v>52</v>
      </c>
      <c r="AV173">
        <v>1</v>
      </c>
      <c r="AW173">
        <v>1</v>
      </c>
      <c r="AZ173">
        <v>1</v>
      </c>
      <c r="BA173">
        <v>19.96</v>
      </c>
      <c r="BB173">
        <v>7.11</v>
      </c>
      <c r="BC173">
        <v>5.66</v>
      </c>
      <c r="BH173">
        <v>0</v>
      </c>
      <c r="BI173">
        <v>1</v>
      </c>
      <c r="BJ173" t="s">
        <v>188</v>
      </c>
      <c r="BM173">
        <v>6001</v>
      </c>
      <c r="BN173">
        <v>0</v>
      </c>
      <c r="BO173" t="s">
        <v>27</v>
      </c>
      <c r="BP173">
        <v>1</v>
      </c>
      <c r="BQ173">
        <v>2</v>
      </c>
      <c r="BR173">
        <v>0</v>
      </c>
      <c r="BS173">
        <v>19.96</v>
      </c>
      <c r="BT173">
        <v>1</v>
      </c>
      <c r="BU173">
        <v>1</v>
      </c>
      <c r="BV173">
        <v>1</v>
      </c>
      <c r="BW173">
        <v>1</v>
      </c>
      <c r="BX173">
        <v>1</v>
      </c>
      <c r="BZ173">
        <v>105</v>
      </c>
      <c r="CA173">
        <v>65</v>
      </c>
      <c r="CF173">
        <v>0</v>
      </c>
      <c r="CG173">
        <v>0</v>
      </c>
      <c r="CM173">
        <v>0</v>
      </c>
      <c r="CO173">
        <v>0</v>
      </c>
      <c r="CP173">
        <f>(P173+Q173+S173)</f>
        <v>1333.2</v>
      </c>
      <c r="CQ173">
        <f>AC173*BC173</f>
        <v>5125.0734</v>
      </c>
      <c r="CR173">
        <f>AD173*BB173</f>
        <v>11288.831400000001</v>
      </c>
      <c r="CS173">
        <f>AE173*BS173</f>
        <v>4880.4196</v>
      </c>
      <c r="CT173">
        <f>AF173*BA173</f>
        <v>28023.84</v>
      </c>
      <c r="CU173">
        <f aca="true" t="shared" si="130" ref="CU173:CX174">AG173</f>
        <v>0</v>
      </c>
      <c r="CV173">
        <f t="shared" si="130"/>
        <v>180</v>
      </c>
      <c r="CW173">
        <f t="shared" si="130"/>
        <v>18.13</v>
      </c>
      <c r="CX173">
        <f t="shared" si="130"/>
        <v>0</v>
      </c>
      <c r="CY173">
        <f>(((S173+R173)*AT173)/100)</f>
        <v>878.5190000000001</v>
      </c>
      <c r="CZ173">
        <f>(((S173+R173)*AU173)/100)</f>
        <v>513.292</v>
      </c>
      <c r="DN173">
        <v>0</v>
      </c>
      <c r="DO173">
        <v>0</v>
      </c>
      <c r="DP173">
        <v>1</v>
      </c>
      <c r="DQ173">
        <v>1</v>
      </c>
      <c r="DU173">
        <v>1007</v>
      </c>
      <c r="DV173" t="s">
        <v>114</v>
      </c>
      <c r="DW173" t="s">
        <v>114</v>
      </c>
      <c r="DX173">
        <v>100</v>
      </c>
      <c r="EE173">
        <v>39125360</v>
      </c>
      <c r="EF173">
        <v>2</v>
      </c>
      <c r="EG173" t="s">
        <v>28</v>
      </c>
      <c r="EH173">
        <v>0</v>
      </c>
      <c r="EJ173">
        <v>1</v>
      </c>
      <c r="EK173">
        <v>6001</v>
      </c>
      <c r="EL173" t="s">
        <v>189</v>
      </c>
      <c r="EM173" t="s">
        <v>190</v>
      </c>
      <c r="EQ173">
        <v>0</v>
      </c>
      <c r="ER173">
        <v>3897.23</v>
      </c>
      <c r="ES173">
        <v>905.49</v>
      </c>
      <c r="ET173">
        <v>1587.74</v>
      </c>
      <c r="EU173">
        <v>244.51</v>
      </c>
      <c r="EV173">
        <v>1404</v>
      </c>
      <c r="EW173">
        <v>180</v>
      </c>
      <c r="EX173">
        <v>18.13</v>
      </c>
      <c r="EY173">
        <v>0</v>
      </c>
      <c r="FQ173">
        <v>0</v>
      </c>
      <c r="FR173">
        <f>ROUND(IF(AND(BH173=3,BI173=3),P173,0),1)</f>
        <v>0</v>
      </c>
      <c r="FS173">
        <v>0</v>
      </c>
      <c r="FV173" t="s">
        <v>31</v>
      </c>
      <c r="FW173" t="s">
        <v>32</v>
      </c>
      <c r="FX173">
        <v>105</v>
      </c>
      <c r="FY173">
        <v>65</v>
      </c>
      <c r="GD173">
        <v>0</v>
      </c>
      <c r="GF173">
        <v>872173435</v>
      </c>
      <c r="GG173">
        <v>2</v>
      </c>
      <c r="GH173">
        <v>1</v>
      </c>
      <c r="GI173">
        <v>4</v>
      </c>
      <c r="GJ173">
        <v>0</v>
      </c>
      <c r="GK173">
        <f>ROUND(R173*(R12)/100,1)</f>
        <v>0</v>
      </c>
      <c r="GL173">
        <f>ROUND(IF(AND(BH173=3,BI173=3,FS173&lt;&gt;0),P173,0),1)</f>
        <v>0</v>
      </c>
      <c r="GM173">
        <f>ROUND(O173+X173+Y173+GK173,1)+GX173</f>
        <v>2725</v>
      </c>
      <c r="GN173">
        <f>IF(OR(BI173=0,BI173=1),GM173,0)</f>
        <v>2725</v>
      </c>
      <c r="GO173">
        <f>IF(BI173=2,GM173,0)</f>
        <v>0</v>
      </c>
      <c r="GP173">
        <f>IF(BI173=4,GM173,0)</f>
        <v>0</v>
      </c>
      <c r="GR173">
        <v>0</v>
      </c>
      <c r="GS173">
        <v>3</v>
      </c>
      <c r="GT173">
        <v>0</v>
      </c>
      <c r="GV173">
        <f>ROUND(GT173,6)</f>
        <v>0</v>
      </c>
      <c r="GW173">
        <v>19.96</v>
      </c>
      <c r="GX173">
        <f>ROUND(GV173*GW173*I173,1)</f>
        <v>0</v>
      </c>
      <c r="HA173">
        <v>0</v>
      </c>
      <c r="HB173">
        <v>0</v>
      </c>
      <c r="IK173">
        <v>0</v>
      </c>
    </row>
    <row r="174" spans="1:245" ht="12.75">
      <c r="A174">
        <v>18</v>
      </c>
      <c r="B174">
        <v>1</v>
      </c>
      <c r="C174">
        <v>150</v>
      </c>
      <c r="E174" t="s">
        <v>275</v>
      </c>
      <c r="F174" t="s">
        <v>192</v>
      </c>
      <c r="G174" t="s">
        <v>193</v>
      </c>
      <c r="H174" t="s">
        <v>140</v>
      </c>
      <c r="I174">
        <f>I173*J174</f>
        <v>3.06</v>
      </c>
      <c r="J174">
        <v>102</v>
      </c>
      <c r="O174">
        <f>ROUND(CP174,1)</f>
        <v>11517.5</v>
      </c>
      <c r="P174">
        <f>ROUND(CQ174*I174,1)</f>
        <v>11517.5</v>
      </c>
      <c r="Q174">
        <f>ROUND(CR174*I174,1)</f>
        <v>0</v>
      </c>
      <c r="R174">
        <f>ROUND(CS174*I174,1)</f>
        <v>0</v>
      </c>
      <c r="S174">
        <f>ROUND(CT174*I174,1)</f>
        <v>0</v>
      </c>
      <c r="T174">
        <f>ROUND(CU174*I174,1)</f>
        <v>0</v>
      </c>
      <c r="U174">
        <f>CV174*I174</f>
        <v>0</v>
      </c>
      <c r="V174">
        <f>CW174*I174</f>
        <v>0</v>
      </c>
      <c r="W174">
        <f>ROUND(CX174*I174,1)</f>
        <v>0</v>
      </c>
      <c r="X174">
        <f>ROUND(CY174,1)</f>
        <v>0</v>
      </c>
      <c r="Y174">
        <f>ROUND(CZ174,1)</f>
        <v>0</v>
      </c>
      <c r="AA174">
        <v>42253831</v>
      </c>
      <c r="AB174">
        <f>ROUND((AC174+AD174+AF174),6)</f>
        <v>665</v>
      </c>
      <c r="AC174">
        <f>ROUND((ES174),6)</f>
        <v>665</v>
      </c>
      <c r="AD174">
        <f>ROUND((((ET174)-(EU174))+AE174),6)</f>
        <v>0</v>
      </c>
      <c r="AE174">
        <f>ROUND((EU174),6)</f>
        <v>0</v>
      </c>
      <c r="AF174">
        <f>ROUND((EV174),6)</f>
        <v>0</v>
      </c>
      <c r="AG174">
        <f>ROUND((AP174),6)</f>
        <v>0</v>
      </c>
      <c r="AH174">
        <f>(EW174)</f>
        <v>0</v>
      </c>
      <c r="AI174">
        <f>(EX174)</f>
        <v>0</v>
      </c>
      <c r="AJ174">
        <f>ROUND((AS174),6)</f>
        <v>0</v>
      </c>
      <c r="AK174">
        <v>665</v>
      </c>
      <c r="AL174">
        <v>665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89</v>
      </c>
      <c r="AU174">
        <v>52</v>
      </c>
      <c r="AV174">
        <v>1</v>
      </c>
      <c r="AW174">
        <v>1</v>
      </c>
      <c r="AZ174">
        <v>1</v>
      </c>
      <c r="BA174">
        <v>1</v>
      </c>
      <c r="BB174">
        <v>1</v>
      </c>
      <c r="BC174">
        <v>5.66</v>
      </c>
      <c r="BH174">
        <v>3</v>
      </c>
      <c r="BI174">
        <v>1</v>
      </c>
      <c r="BJ174" t="s">
        <v>194</v>
      </c>
      <c r="BM174">
        <v>6001</v>
      </c>
      <c r="BN174">
        <v>0</v>
      </c>
      <c r="BO174" t="s">
        <v>27</v>
      </c>
      <c r="BP174">
        <v>1</v>
      </c>
      <c r="BQ174">
        <v>2</v>
      </c>
      <c r="BR174">
        <v>0</v>
      </c>
      <c r="BS174">
        <v>1</v>
      </c>
      <c r="BT174">
        <v>1</v>
      </c>
      <c r="BU174">
        <v>1</v>
      </c>
      <c r="BV174">
        <v>1</v>
      </c>
      <c r="BW174">
        <v>1</v>
      </c>
      <c r="BX174">
        <v>1</v>
      </c>
      <c r="BZ174">
        <v>105</v>
      </c>
      <c r="CA174">
        <v>65</v>
      </c>
      <c r="CF174">
        <v>0</v>
      </c>
      <c r="CG174">
        <v>0</v>
      </c>
      <c r="CM174">
        <v>0</v>
      </c>
      <c r="CO174">
        <v>0</v>
      </c>
      <c r="CP174">
        <f>(P174+Q174+S174)</f>
        <v>11517.5</v>
      </c>
      <c r="CQ174">
        <f>AC174*BC174</f>
        <v>3763.9</v>
      </c>
      <c r="CR174">
        <f>AD174*BB174</f>
        <v>0</v>
      </c>
      <c r="CS174">
        <f>AE174*BS174</f>
        <v>0</v>
      </c>
      <c r="CT174">
        <f>AF174*BA174</f>
        <v>0</v>
      </c>
      <c r="CU174">
        <f t="shared" si="130"/>
        <v>0</v>
      </c>
      <c r="CV174">
        <f t="shared" si="130"/>
        <v>0</v>
      </c>
      <c r="CW174">
        <f t="shared" si="130"/>
        <v>0</v>
      </c>
      <c r="CX174">
        <f t="shared" si="130"/>
        <v>0</v>
      </c>
      <c r="CY174">
        <f>(((S174+R174)*AT174)/100)</f>
        <v>0</v>
      </c>
      <c r="CZ174">
        <f>(((S174+R174)*AU174)/100)</f>
        <v>0</v>
      </c>
      <c r="DN174">
        <v>0</v>
      </c>
      <c r="DO174">
        <v>0</v>
      </c>
      <c r="DP174">
        <v>1</v>
      </c>
      <c r="DQ174">
        <v>1</v>
      </c>
      <c r="DU174">
        <v>1007</v>
      </c>
      <c r="DV174" t="s">
        <v>140</v>
      </c>
      <c r="DW174" t="s">
        <v>140</v>
      </c>
      <c r="DX174">
        <v>1</v>
      </c>
      <c r="EE174">
        <v>39125360</v>
      </c>
      <c r="EF174">
        <v>2</v>
      </c>
      <c r="EG174" t="s">
        <v>28</v>
      </c>
      <c r="EH174">
        <v>0</v>
      </c>
      <c r="EJ174">
        <v>1</v>
      </c>
      <c r="EK174">
        <v>6001</v>
      </c>
      <c r="EL174" t="s">
        <v>189</v>
      </c>
      <c r="EM174" t="s">
        <v>190</v>
      </c>
      <c r="EQ174">
        <v>0</v>
      </c>
      <c r="ER174">
        <v>665</v>
      </c>
      <c r="ES174">
        <v>665</v>
      </c>
      <c r="ET174">
        <v>0</v>
      </c>
      <c r="EU174">
        <v>0</v>
      </c>
      <c r="EV174">
        <v>0</v>
      </c>
      <c r="EW174">
        <v>0</v>
      </c>
      <c r="EX174">
        <v>0</v>
      </c>
      <c r="FQ174">
        <v>0</v>
      </c>
      <c r="FR174">
        <f>ROUND(IF(AND(BH174=3,BI174=3),P174,0),1)</f>
        <v>0</v>
      </c>
      <c r="FS174">
        <v>0</v>
      </c>
      <c r="FV174" t="s">
        <v>31</v>
      </c>
      <c r="FW174" t="s">
        <v>32</v>
      </c>
      <c r="FX174">
        <v>105</v>
      </c>
      <c r="FY174">
        <v>65</v>
      </c>
      <c r="GD174">
        <v>0</v>
      </c>
      <c r="GF174">
        <v>-481738122</v>
      </c>
      <c r="GG174">
        <v>2</v>
      </c>
      <c r="GH174">
        <v>1</v>
      </c>
      <c r="GI174">
        <v>4</v>
      </c>
      <c r="GJ174">
        <v>0</v>
      </c>
      <c r="GK174">
        <f>ROUND(R174*(R12)/100,1)</f>
        <v>0</v>
      </c>
      <c r="GL174">
        <f>ROUND(IF(AND(BH174=3,BI174=3,FS174&lt;&gt;0),P174,0),1)</f>
        <v>0</v>
      </c>
      <c r="GM174">
        <f>ROUND(O174+X174+Y174+GK174,1)+GX174</f>
        <v>11517.5</v>
      </c>
      <c r="GN174">
        <f>IF(OR(BI174=0,BI174=1),GM174,0)</f>
        <v>11517.5</v>
      </c>
      <c r="GO174">
        <f>IF(BI174=2,GM174,0)</f>
        <v>0</v>
      </c>
      <c r="GP174">
        <f>IF(BI174=4,GM174,0)</f>
        <v>0</v>
      </c>
      <c r="GR174">
        <v>0</v>
      </c>
      <c r="GS174">
        <v>3</v>
      </c>
      <c r="GT174">
        <v>0</v>
      </c>
      <c r="GV174">
        <f>ROUND(GT174,6)</f>
        <v>0</v>
      </c>
      <c r="GW174">
        <v>1</v>
      </c>
      <c r="GX174">
        <f>ROUND(GV174*GW174*I174,1)</f>
        <v>0</v>
      </c>
      <c r="HA174">
        <v>0</v>
      </c>
      <c r="HB174">
        <v>0</v>
      </c>
      <c r="IK174">
        <v>0</v>
      </c>
    </row>
    <row r="175" spans="1:245" ht="12.75">
      <c r="A175">
        <v>19</v>
      </c>
      <c r="B175">
        <v>1</v>
      </c>
      <c r="G175" t="s">
        <v>276</v>
      </c>
      <c r="AA175">
        <v>1</v>
      </c>
      <c r="IK175">
        <v>0</v>
      </c>
    </row>
    <row r="176" spans="1:245" ht="12.75">
      <c r="A176">
        <v>17</v>
      </c>
      <c r="B176">
        <v>1</v>
      </c>
      <c r="C176">
        <f>ROW(SmtRes!A158)</f>
        <v>158</v>
      </c>
      <c r="D176">
        <f>ROW(EtalonRes!A160)</f>
        <v>160</v>
      </c>
      <c r="E176" t="s">
        <v>277</v>
      </c>
      <c r="F176" t="s">
        <v>179</v>
      </c>
      <c r="G176" t="s">
        <v>180</v>
      </c>
      <c r="H176" t="s">
        <v>114</v>
      </c>
      <c r="I176">
        <f>ROUND(0.03,3)</f>
        <v>0.03</v>
      </c>
      <c r="J176">
        <v>0</v>
      </c>
      <c r="O176">
        <f>ROUND(CP176,1)</f>
        <v>534.9</v>
      </c>
      <c r="P176">
        <f>ROUND(CQ176*I176,1)</f>
        <v>2.1</v>
      </c>
      <c r="Q176">
        <f>ROUND(CR176*I176,1)</f>
        <v>457.3</v>
      </c>
      <c r="R176">
        <f>ROUND(CS176*I176,1)</f>
        <v>106.3</v>
      </c>
      <c r="S176">
        <f>ROUND(CT176*I176,1)</f>
        <v>75.5</v>
      </c>
      <c r="T176">
        <f>ROUND(CU176*I176,1)</f>
        <v>0</v>
      </c>
      <c r="U176">
        <f>CV176*I176</f>
        <v>0.4716</v>
      </c>
      <c r="V176">
        <f>CW176*I176</f>
        <v>0.4164</v>
      </c>
      <c r="W176">
        <f>ROUND(CX176*I176,1)</f>
        <v>0</v>
      </c>
      <c r="X176">
        <f aca="true" t="shared" si="131" ref="X176:Y179">ROUND(CY176,1)</f>
        <v>220</v>
      </c>
      <c r="Y176">
        <f t="shared" si="131"/>
        <v>138.2</v>
      </c>
      <c r="AA176">
        <v>42253831</v>
      </c>
      <c r="AB176">
        <f>ROUND((AC176+AD176+AF176),6)</f>
        <v>2281.99</v>
      </c>
      <c r="AC176">
        <f>ROUND((ES176),6)</f>
        <v>12.2</v>
      </c>
      <c r="AD176">
        <f>ROUND((((ET176)-(EU176))+AE176),6)</f>
        <v>2143.72</v>
      </c>
      <c r="AE176">
        <f aca="true" t="shared" si="132" ref="AE176:AF179">ROUND((EU176),6)</f>
        <v>177.59</v>
      </c>
      <c r="AF176">
        <f t="shared" si="132"/>
        <v>126.07</v>
      </c>
      <c r="AG176">
        <f>ROUND((AP176),6)</f>
        <v>0</v>
      </c>
      <c r="AH176">
        <f aca="true" t="shared" si="133" ref="AH176:AI179">(EW176)</f>
        <v>15.72</v>
      </c>
      <c r="AI176">
        <f t="shared" si="133"/>
        <v>13.88</v>
      </c>
      <c r="AJ176">
        <f>ROUND((AS176),6)</f>
        <v>0</v>
      </c>
      <c r="AK176">
        <v>2281.99</v>
      </c>
      <c r="AL176">
        <v>12.2</v>
      </c>
      <c r="AM176">
        <v>2143.72</v>
      </c>
      <c r="AN176">
        <v>177.59</v>
      </c>
      <c r="AO176">
        <v>126.07</v>
      </c>
      <c r="AP176">
        <v>0</v>
      </c>
      <c r="AQ176">
        <v>15.72</v>
      </c>
      <c r="AR176">
        <v>13.88</v>
      </c>
      <c r="AS176">
        <v>0</v>
      </c>
      <c r="AT176">
        <v>121</v>
      </c>
      <c r="AU176">
        <v>76</v>
      </c>
      <c r="AV176">
        <v>1</v>
      </c>
      <c r="AW176">
        <v>1</v>
      </c>
      <c r="AZ176">
        <v>1</v>
      </c>
      <c r="BA176">
        <v>19.96</v>
      </c>
      <c r="BB176">
        <v>7.11</v>
      </c>
      <c r="BC176">
        <v>5.66</v>
      </c>
      <c r="BH176">
        <v>0</v>
      </c>
      <c r="BI176">
        <v>1</v>
      </c>
      <c r="BJ176" t="s">
        <v>181</v>
      </c>
      <c r="BM176">
        <v>27001</v>
      </c>
      <c r="BN176">
        <v>0</v>
      </c>
      <c r="BO176" t="s">
        <v>27</v>
      </c>
      <c r="BP176">
        <v>1</v>
      </c>
      <c r="BQ176">
        <v>2</v>
      </c>
      <c r="BR176">
        <v>0</v>
      </c>
      <c r="BS176">
        <v>19.96</v>
      </c>
      <c r="BT176">
        <v>1</v>
      </c>
      <c r="BU176">
        <v>1</v>
      </c>
      <c r="BV176">
        <v>1</v>
      </c>
      <c r="BW176">
        <v>1</v>
      </c>
      <c r="BX176">
        <v>1</v>
      </c>
      <c r="BZ176">
        <v>142</v>
      </c>
      <c r="CA176">
        <v>95</v>
      </c>
      <c r="CF176">
        <v>0</v>
      </c>
      <c r="CG176">
        <v>0</v>
      </c>
      <c r="CM176">
        <v>0</v>
      </c>
      <c r="CO176">
        <v>0</v>
      </c>
      <c r="CP176">
        <f>(P176+Q176+S176)</f>
        <v>534.9000000000001</v>
      </c>
      <c r="CQ176">
        <f>AC176*BC176</f>
        <v>69.05199999999999</v>
      </c>
      <c r="CR176">
        <f>AD176*BB176</f>
        <v>15241.849199999999</v>
      </c>
      <c r="CS176">
        <f>AE176*BS176</f>
        <v>3544.6964000000003</v>
      </c>
      <c r="CT176">
        <f>AF176*BA176</f>
        <v>2516.3572</v>
      </c>
      <c r="CU176">
        <f aca="true" t="shared" si="134" ref="CU176:CX179">AG176</f>
        <v>0</v>
      </c>
      <c r="CV176">
        <f t="shared" si="134"/>
        <v>15.72</v>
      </c>
      <c r="CW176">
        <f t="shared" si="134"/>
        <v>13.88</v>
      </c>
      <c r="CX176">
        <f t="shared" si="134"/>
        <v>0</v>
      </c>
      <c r="CY176">
        <f>(((S176+R176)*AT176)/100)</f>
        <v>219.97800000000004</v>
      </c>
      <c r="CZ176">
        <f>(((S176+R176)*AU176)/100)</f>
        <v>138.168</v>
      </c>
      <c r="DN176">
        <v>0</v>
      </c>
      <c r="DO176">
        <v>0</v>
      </c>
      <c r="DP176">
        <v>1</v>
      </c>
      <c r="DQ176">
        <v>1</v>
      </c>
      <c r="DU176">
        <v>1007</v>
      </c>
      <c r="DV176" t="s">
        <v>114</v>
      </c>
      <c r="DW176" t="s">
        <v>114</v>
      </c>
      <c r="DX176">
        <v>100</v>
      </c>
      <c r="EE176">
        <v>39125414</v>
      </c>
      <c r="EF176">
        <v>2</v>
      </c>
      <c r="EG176" t="s">
        <v>28</v>
      </c>
      <c r="EH176">
        <v>0</v>
      </c>
      <c r="EJ176">
        <v>1</v>
      </c>
      <c r="EK176">
        <v>27001</v>
      </c>
      <c r="EL176" t="s">
        <v>182</v>
      </c>
      <c r="EM176" t="s">
        <v>183</v>
      </c>
      <c r="EQ176">
        <v>0</v>
      </c>
      <c r="ER176">
        <v>2281.99</v>
      </c>
      <c r="ES176">
        <v>12.2</v>
      </c>
      <c r="ET176">
        <v>2143.72</v>
      </c>
      <c r="EU176">
        <v>177.59</v>
      </c>
      <c r="EV176">
        <v>126.07</v>
      </c>
      <c r="EW176">
        <v>15.72</v>
      </c>
      <c r="EX176">
        <v>13.88</v>
      </c>
      <c r="EY176">
        <v>0</v>
      </c>
      <c r="FQ176">
        <v>0</v>
      </c>
      <c r="FR176">
        <f>ROUND(IF(AND(BH176=3,BI176=3),P176,0),1)</f>
        <v>0</v>
      </c>
      <c r="FS176">
        <v>0</v>
      </c>
      <c r="FV176" t="s">
        <v>31</v>
      </c>
      <c r="FW176" t="s">
        <v>32</v>
      </c>
      <c r="FX176">
        <v>142</v>
      </c>
      <c r="FY176">
        <v>95</v>
      </c>
      <c r="GD176">
        <v>0</v>
      </c>
      <c r="GF176">
        <v>684086074</v>
      </c>
      <c r="GG176">
        <v>2</v>
      </c>
      <c r="GH176">
        <v>1</v>
      </c>
      <c r="GI176">
        <v>4</v>
      </c>
      <c r="GJ176">
        <v>0</v>
      </c>
      <c r="GK176">
        <f>ROUND(R176*(R12)/100,1)</f>
        <v>0</v>
      </c>
      <c r="GL176">
        <f>ROUND(IF(AND(BH176=3,BI176=3,FS176&lt;&gt;0),P176,0),1)</f>
        <v>0</v>
      </c>
      <c r="GM176">
        <f>ROUND(O176+X176+Y176+GK176,1)+GX176</f>
        <v>893.1</v>
      </c>
      <c r="GN176">
        <f>IF(OR(BI176=0,BI176=1),GM176,0)</f>
        <v>893.1</v>
      </c>
      <c r="GO176">
        <f>IF(BI176=2,GM176,0)</f>
        <v>0</v>
      </c>
      <c r="GP176">
        <f>IF(BI176=4,GM176,0)</f>
        <v>0</v>
      </c>
      <c r="GR176">
        <v>0</v>
      </c>
      <c r="GS176">
        <v>3</v>
      </c>
      <c r="GT176">
        <v>0</v>
      </c>
      <c r="GV176">
        <f>ROUND(GT176,6)</f>
        <v>0</v>
      </c>
      <c r="GW176">
        <v>19.96</v>
      </c>
      <c r="GX176">
        <f>ROUND(GV176*GW176*I176,1)</f>
        <v>0</v>
      </c>
      <c r="HA176">
        <v>0</v>
      </c>
      <c r="HB176">
        <v>0</v>
      </c>
      <c r="IK176">
        <v>0</v>
      </c>
    </row>
    <row r="177" spans="1:245" ht="12.75">
      <c r="A177">
        <v>18</v>
      </c>
      <c r="B177">
        <v>1</v>
      </c>
      <c r="C177">
        <v>158</v>
      </c>
      <c r="E177" t="s">
        <v>278</v>
      </c>
      <c r="F177" t="s">
        <v>138</v>
      </c>
      <c r="G177" t="s">
        <v>139</v>
      </c>
      <c r="H177" t="s">
        <v>140</v>
      </c>
      <c r="I177">
        <f>I176*J177</f>
        <v>3</v>
      </c>
      <c r="J177">
        <v>100</v>
      </c>
      <c r="O177">
        <f>ROUND(CP177,1)</f>
        <v>938.3</v>
      </c>
      <c r="P177">
        <f>ROUND(CQ177*I177,1)</f>
        <v>938.3</v>
      </c>
      <c r="Q177">
        <f>ROUND(CR177*I177,1)</f>
        <v>0</v>
      </c>
      <c r="R177">
        <f>ROUND(CS177*I177,1)</f>
        <v>0</v>
      </c>
      <c r="S177">
        <f>ROUND(CT177*I177,1)</f>
        <v>0</v>
      </c>
      <c r="T177">
        <f>ROUND(CU177*I177,1)</f>
        <v>0</v>
      </c>
      <c r="U177">
        <f>CV177*I177</f>
        <v>0</v>
      </c>
      <c r="V177">
        <f>CW177*I177</f>
        <v>0</v>
      </c>
      <c r="W177">
        <f>ROUND(CX177*I177,1)</f>
        <v>0</v>
      </c>
      <c r="X177">
        <f t="shared" si="131"/>
        <v>0</v>
      </c>
      <c r="Y177">
        <f t="shared" si="131"/>
        <v>0</v>
      </c>
      <c r="AA177">
        <v>42253831</v>
      </c>
      <c r="AB177">
        <f>ROUND((AC177+AD177+AF177),6)</f>
        <v>55.26</v>
      </c>
      <c r="AC177">
        <f>ROUND((ES177),6)</f>
        <v>55.26</v>
      </c>
      <c r="AD177">
        <f>ROUND((((ET177)-(EU177))+AE177),6)</f>
        <v>0</v>
      </c>
      <c r="AE177">
        <f t="shared" si="132"/>
        <v>0</v>
      </c>
      <c r="AF177">
        <f t="shared" si="132"/>
        <v>0</v>
      </c>
      <c r="AG177">
        <f>ROUND((AP177),6)</f>
        <v>0</v>
      </c>
      <c r="AH177">
        <f t="shared" si="133"/>
        <v>0</v>
      </c>
      <c r="AI177">
        <f t="shared" si="133"/>
        <v>0</v>
      </c>
      <c r="AJ177">
        <f>ROUND((AS177),6)</f>
        <v>0</v>
      </c>
      <c r="AK177">
        <v>55.26</v>
      </c>
      <c r="AL177">
        <v>55.26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80</v>
      </c>
      <c r="AU177">
        <v>45</v>
      </c>
      <c r="AV177">
        <v>1</v>
      </c>
      <c r="AW177">
        <v>1</v>
      </c>
      <c r="AZ177">
        <v>1</v>
      </c>
      <c r="BA177">
        <v>1</v>
      </c>
      <c r="BB177">
        <v>1</v>
      </c>
      <c r="BC177">
        <v>5.66</v>
      </c>
      <c r="BH177">
        <v>3</v>
      </c>
      <c r="BI177">
        <v>1</v>
      </c>
      <c r="BJ177" t="s">
        <v>141</v>
      </c>
      <c r="BM177">
        <v>500001</v>
      </c>
      <c r="BN177">
        <v>0</v>
      </c>
      <c r="BO177" t="s">
        <v>27</v>
      </c>
      <c r="BP177">
        <v>1</v>
      </c>
      <c r="BQ177">
        <v>8</v>
      </c>
      <c r="BR177">
        <v>0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Z177">
        <v>80</v>
      </c>
      <c r="CA177">
        <v>45</v>
      </c>
      <c r="CF177">
        <v>0</v>
      </c>
      <c r="CG177">
        <v>0</v>
      </c>
      <c r="CM177">
        <v>0</v>
      </c>
      <c r="CO177">
        <v>0</v>
      </c>
      <c r="CP177">
        <f>(P177+Q177+S177)</f>
        <v>938.3</v>
      </c>
      <c r="CQ177">
        <f>AC177*BC177</f>
        <v>312.7716</v>
      </c>
      <c r="CR177">
        <f>AD177*BB177</f>
        <v>0</v>
      </c>
      <c r="CS177">
        <f>AE177*BS177</f>
        <v>0</v>
      </c>
      <c r="CT177">
        <f>AF177*BA177</f>
        <v>0</v>
      </c>
      <c r="CU177">
        <f t="shared" si="134"/>
        <v>0</v>
      </c>
      <c r="CV177">
        <f t="shared" si="134"/>
        <v>0</v>
      </c>
      <c r="CW177">
        <f t="shared" si="134"/>
        <v>0</v>
      </c>
      <c r="CX177">
        <f t="shared" si="134"/>
        <v>0</v>
      </c>
      <c r="CY177">
        <f>(((S177+R177)*AT177)/100)</f>
        <v>0</v>
      </c>
      <c r="CZ177">
        <f>(((S177+R177)*AU177)/100)</f>
        <v>0</v>
      </c>
      <c r="DN177">
        <v>0</v>
      </c>
      <c r="DO177">
        <v>0</v>
      </c>
      <c r="DP177">
        <v>1</v>
      </c>
      <c r="DQ177">
        <v>1</v>
      </c>
      <c r="DU177">
        <v>1007</v>
      </c>
      <c r="DV177" t="s">
        <v>140</v>
      </c>
      <c r="DW177" t="s">
        <v>140</v>
      </c>
      <c r="DX177">
        <v>1</v>
      </c>
      <c r="EE177">
        <v>39125306</v>
      </c>
      <c r="EF177">
        <v>8</v>
      </c>
      <c r="EG177" t="s">
        <v>142</v>
      </c>
      <c r="EH177">
        <v>0</v>
      </c>
      <c r="EJ177">
        <v>1</v>
      </c>
      <c r="EK177">
        <v>500001</v>
      </c>
      <c r="EL177" t="s">
        <v>143</v>
      </c>
      <c r="EM177" t="s">
        <v>144</v>
      </c>
      <c r="EQ177">
        <v>0</v>
      </c>
      <c r="ER177">
        <v>55.26</v>
      </c>
      <c r="ES177">
        <v>55.26</v>
      </c>
      <c r="ET177">
        <v>0</v>
      </c>
      <c r="EU177">
        <v>0</v>
      </c>
      <c r="EV177">
        <v>0</v>
      </c>
      <c r="EW177">
        <v>0</v>
      </c>
      <c r="EX177">
        <v>0</v>
      </c>
      <c r="FQ177">
        <v>0</v>
      </c>
      <c r="FR177">
        <f>ROUND(IF(AND(BH177=3,BI177=3),P177,0),1)</f>
        <v>0</v>
      </c>
      <c r="FS177">
        <v>0</v>
      </c>
      <c r="FX177">
        <v>80</v>
      </c>
      <c r="FY177">
        <v>45</v>
      </c>
      <c r="GD177">
        <v>0</v>
      </c>
      <c r="GF177">
        <v>-35545874</v>
      </c>
      <c r="GG177">
        <v>2</v>
      </c>
      <c r="GH177">
        <v>1</v>
      </c>
      <c r="GI177">
        <v>4</v>
      </c>
      <c r="GJ177">
        <v>0</v>
      </c>
      <c r="GK177">
        <f>ROUND(R177*(R12)/100,1)</f>
        <v>0</v>
      </c>
      <c r="GL177">
        <f>ROUND(IF(AND(BH177=3,BI177=3,FS177&lt;&gt;0),P177,0),1)</f>
        <v>0</v>
      </c>
      <c r="GM177">
        <f>ROUND(O177+X177+Y177+GK177,1)+GX177</f>
        <v>938.3</v>
      </c>
      <c r="GN177">
        <f>IF(OR(BI177=0,BI177=1),GM177,0)</f>
        <v>938.3</v>
      </c>
      <c r="GO177">
        <f>IF(BI177=2,GM177,0)</f>
        <v>0</v>
      </c>
      <c r="GP177">
        <f>IF(BI177=4,GM177,0)</f>
        <v>0</v>
      </c>
      <c r="GR177">
        <v>0</v>
      </c>
      <c r="GS177">
        <v>0</v>
      </c>
      <c r="GT177">
        <v>0</v>
      </c>
      <c r="GV177">
        <f>ROUND(GT177,6)</f>
        <v>0</v>
      </c>
      <c r="GW177">
        <v>1</v>
      </c>
      <c r="GX177">
        <f>ROUND(GV177*GW177*I177,1)</f>
        <v>0</v>
      </c>
      <c r="HA177">
        <v>0</v>
      </c>
      <c r="HB177">
        <v>0</v>
      </c>
      <c r="IK177">
        <v>0</v>
      </c>
    </row>
    <row r="178" spans="1:245" ht="12.75">
      <c r="A178">
        <v>17</v>
      </c>
      <c r="B178">
        <v>1</v>
      </c>
      <c r="C178">
        <f>ROW(SmtRes!A166)</f>
        <v>166</v>
      </c>
      <c r="D178">
        <f>ROW(EtalonRes!A169)</f>
        <v>169</v>
      </c>
      <c r="E178" t="s">
        <v>279</v>
      </c>
      <c r="F178" t="s">
        <v>280</v>
      </c>
      <c r="G178" t="s">
        <v>281</v>
      </c>
      <c r="H178" t="s">
        <v>114</v>
      </c>
      <c r="I178">
        <f>ROUND(0.03,3)</f>
        <v>0.03</v>
      </c>
      <c r="J178">
        <v>0</v>
      </c>
      <c r="O178">
        <f>ROUND(CP178,1)</f>
        <v>832.3</v>
      </c>
      <c r="P178">
        <f>ROUND(CQ178*I178,1)</f>
        <v>2.9</v>
      </c>
      <c r="Q178">
        <f>ROUND(CR178*I178,1)</f>
        <v>712.2</v>
      </c>
      <c r="R178">
        <f>ROUND(CS178*I178,1)</f>
        <v>166.9</v>
      </c>
      <c r="S178">
        <f>ROUND(CT178*I178,1)</f>
        <v>117.2</v>
      </c>
      <c r="T178">
        <f>ROUND(CU178*I178,1)</f>
        <v>0</v>
      </c>
      <c r="U178">
        <f>CV178*I178</f>
        <v>0.7257</v>
      </c>
      <c r="V178">
        <f>CW178*I178</f>
        <v>0.618</v>
      </c>
      <c r="W178">
        <f>ROUND(CX178*I178,1)</f>
        <v>0</v>
      </c>
      <c r="X178">
        <f t="shared" si="131"/>
        <v>343.8</v>
      </c>
      <c r="Y178">
        <f t="shared" si="131"/>
        <v>215.9</v>
      </c>
      <c r="AA178">
        <v>42253831</v>
      </c>
      <c r="AB178">
        <f>ROUND((AC178+AD178+AF178),6)</f>
        <v>3551.63</v>
      </c>
      <c r="AC178">
        <f>ROUND((ES178),6)</f>
        <v>17.08</v>
      </c>
      <c r="AD178">
        <f>ROUND((((ET178)-(EU178))+AE178),6)</f>
        <v>3338.85</v>
      </c>
      <c r="AE178">
        <f t="shared" si="132"/>
        <v>278.65</v>
      </c>
      <c r="AF178">
        <f t="shared" si="132"/>
        <v>195.7</v>
      </c>
      <c r="AG178">
        <f>ROUND((AP178),6)</f>
        <v>0</v>
      </c>
      <c r="AH178">
        <f t="shared" si="133"/>
        <v>24.19</v>
      </c>
      <c r="AI178">
        <f t="shared" si="133"/>
        <v>20.6</v>
      </c>
      <c r="AJ178">
        <f>ROUND((AS178),6)</f>
        <v>0</v>
      </c>
      <c r="AK178">
        <v>3551.63</v>
      </c>
      <c r="AL178">
        <v>17.08</v>
      </c>
      <c r="AM178">
        <v>3338.85</v>
      </c>
      <c r="AN178">
        <v>278.65</v>
      </c>
      <c r="AO178">
        <v>195.7</v>
      </c>
      <c r="AP178">
        <v>0</v>
      </c>
      <c r="AQ178">
        <v>24.19</v>
      </c>
      <c r="AR178">
        <v>20.6</v>
      </c>
      <c r="AS178">
        <v>0</v>
      </c>
      <c r="AT178">
        <v>121</v>
      </c>
      <c r="AU178">
        <v>76</v>
      </c>
      <c r="AV178">
        <v>1</v>
      </c>
      <c r="AW178">
        <v>1</v>
      </c>
      <c r="AZ178">
        <v>1</v>
      </c>
      <c r="BA178">
        <v>19.96</v>
      </c>
      <c r="BB178">
        <v>7.11</v>
      </c>
      <c r="BC178">
        <v>5.66</v>
      </c>
      <c r="BH178">
        <v>0</v>
      </c>
      <c r="BI178">
        <v>1</v>
      </c>
      <c r="BJ178" t="s">
        <v>282</v>
      </c>
      <c r="BM178">
        <v>27001</v>
      </c>
      <c r="BN178">
        <v>0</v>
      </c>
      <c r="BO178" t="s">
        <v>27</v>
      </c>
      <c r="BP178">
        <v>1</v>
      </c>
      <c r="BQ178">
        <v>2</v>
      </c>
      <c r="BR178">
        <v>0</v>
      </c>
      <c r="BS178">
        <v>19.96</v>
      </c>
      <c r="BT178">
        <v>1</v>
      </c>
      <c r="BU178">
        <v>1</v>
      </c>
      <c r="BV178">
        <v>1</v>
      </c>
      <c r="BW178">
        <v>1</v>
      </c>
      <c r="BX178">
        <v>1</v>
      </c>
      <c r="BZ178">
        <v>142</v>
      </c>
      <c r="CA178">
        <v>95</v>
      </c>
      <c r="CF178">
        <v>0</v>
      </c>
      <c r="CG178">
        <v>0</v>
      </c>
      <c r="CM178">
        <v>0</v>
      </c>
      <c r="CO178">
        <v>0</v>
      </c>
      <c r="CP178">
        <f>(P178+Q178+S178)</f>
        <v>832.3000000000001</v>
      </c>
      <c r="CQ178">
        <f>AC178*BC178</f>
        <v>96.6728</v>
      </c>
      <c r="CR178">
        <f>AD178*BB178</f>
        <v>23739.2235</v>
      </c>
      <c r="CS178">
        <f>AE178*BS178</f>
        <v>5561.853999999999</v>
      </c>
      <c r="CT178">
        <f>AF178*BA178</f>
        <v>3906.172</v>
      </c>
      <c r="CU178">
        <f t="shared" si="134"/>
        <v>0</v>
      </c>
      <c r="CV178">
        <f t="shared" si="134"/>
        <v>24.19</v>
      </c>
      <c r="CW178">
        <f t="shared" si="134"/>
        <v>20.6</v>
      </c>
      <c r="CX178">
        <f t="shared" si="134"/>
        <v>0</v>
      </c>
      <c r="CY178">
        <f>(((S178+R178)*AT178)/100)</f>
        <v>343.7610000000001</v>
      </c>
      <c r="CZ178">
        <f>(((S178+R178)*AU178)/100)</f>
        <v>215.91600000000003</v>
      </c>
      <c r="DN178">
        <v>0</v>
      </c>
      <c r="DO178">
        <v>0</v>
      </c>
      <c r="DP178">
        <v>1</v>
      </c>
      <c r="DQ178">
        <v>1</v>
      </c>
      <c r="DU178">
        <v>1007</v>
      </c>
      <c r="DV178" t="s">
        <v>114</v>
      </c>
      <c r="DW178" t="s">
        <v>114</v>
      </c>
      <c r="DX178">
        <v>100</v>
      </c>
      <c r="EE178">
        <v>39125414</v>
      </c>
      <c r="EF178">
        <v>2</v>
      </c>
      <c r="EG178" t="s">
        <v>28</v>
      </c>
      <c r="EH178">
        <v>0</v>
      </c>
      <c r="EJ178">
        <v>1</v>
      </c>
      <c r="EK178">
        <v>27001</v>
      </c>
      <c r="EL178" t="s">
        <v>182</v>
      </c>
      <c r="EM178" t="s">
        <v>183</v>
      </c>
      <c r="EQ178">
        <v>0</v>
      </c>
      <c r="ER178">
        <v>3551.63</v>
      </c>
      <c r="ES178">
        <v>17.08</v>
      </c>
      <c r="ET178">
        <v>3338.85</v>
      </c>
      <c r="EU178">
        <v>278.65</v>
      </c>
      <c r="EV178">
        <v>195.7</v>
      </c>
      <c r="EW178">
        <v>24.19</v>
      </c>
      <c r="EX178">
        <v>20.6</v>
      </c>
      <c r="EY178">
        <v>0</v>
      </c>
      <c r="FQ178">
        <v>0</v>
      </c>
      <c r="FR178">
        <f>ROUND(IF(AND(BH178=3,BI178=3),P178,0),1)</f>
        <v>0</v>
      </c>
      <c r="FS178">
        <v>0</v>
      </c>
      <c r="FV178" t="s">
        <v>31</v>
      </c>
      <c r="FW178" t="s">
        <v>32</v>
      </c>
      <c r="FX178">
        <v>142</v>
      </c>
      <c r="FY178">
        <v>95</v>
      </c>
      <c r="GD178">
        <v>0</v>
      </c>
      <c r="GF178">
        <v>1924616243</v>
      </c>
      <c r="GG178">
        <v>2</v>
      </c>
      <c r="GH178">
        <v>1</v>
      </c>
      <c r="GI178">
        <v>4</v>
      </c>
      <c r="GJ178">
        <v>0</v>
      </c>
      <c r="GK178">
        <f>ROUND(R178*(R12)/100,1)</f>
        <v>0</v>
      </c>
      <c r="GL178">
        <f>ROUND(IF(AND(BH178=3,BI178=3,FS178&lt;&gt;0),P178,0),1)</f>
        <v>0</v>
      </c>
      <c r="GM178">
        <f>ROUND(O178+X178+Y178+GK178,1)+GX178</f>
        <v>1392</v>
      </c>
      <c r="GN178">
        <f>IF(OR(BI178=0,BI178=1),GM178,0)</f>
        <v>1392</v>
      </c>
      <c r="GO178">
        <f>IF(BI178=2,GM178,0)</f>
        <v>0</v>
      </c>
      <c r="GP178">
        <f>IF(BI178=4,GM178,0)</f>
        <v>0</v>
      </c>
      <c r="GR178">
        <v>0</v>
      </c>
      <c r="GS178">
        <v>3</v>
      </c>
      <c r="GT178">
        <v>0</v>
      </c>
      <c r="GV178">
        <f>ROUND(GT178,6)</f>
        <v>0</v>
      </c>
      <c r="GW178">
        <v>19.96</v>
      </c>
      <c r="GX178">
        <f>ROUND(GV178*GW178*I178,1)</f>
        <v>0</v>
      </c>
      <c r="HA178">
        <v>0</v>
      </c>
      <c r="HB178">
        <v>0</v>
      </c>
      <c r="IK178">
        <v>0</v>
      </c>
    </row>
    <row r="179" spans="1:245" ht="12.75">
      <c r="A179">
        <v>17</v>
      </c>
      <c r="B179">
        <v>1</v>
      </c>
      <c r="E179" t="s">
        <v>283</v>
      </c>
      <c r="F179" t="s">
        <v>284</v>
      </c>
      <c r="G179" t="s">
        <v>285</v>
      </c>
      <c r="H179" t="s">
        <v>140</v>
      </c>
      <c r="I179">
        <f>ROUND(3.8,3)</f>
        <v>3.8</v>
      </c>
      <c r="J179">
        <v>0</v>
      </c>
      <c r="O179">
        <f>ROUND(CP179,1)</f>
        <v>3003.2</v>
      </c>
      <c r="P179">
        <f>ROUND(CQ179*I179,1)</f>
        <v>3003.2</v>
      </c>
      <c r="Q179">
        <f>ROUND(CR179*I179,1)</f>
        <v>0</v>
      </c>
      <c r="R179">
        <f>ROUND(CS179*I179,1)</f>
        <v>0</v>
      </c>
      <c r="S179">
        <f>ROUND(CT179*I179,1)</f>
        <v>0</v>
      </c>
      <c r="T179">
        <f>ROUND(CU179*I179,1)</f>
        <v>0</v>
      </c>
      <c r="U179">
        <f>CV179*I179</f>
        <v>0</v>
      </c>
      <c r="V179">
        <f>CW179*I179</f>
        <v>0</v>
      </c>
      <c r="W179">
        <f>ROUND(CX179*I179,1)</f>
        <v>0</v>
      </c>
      <c r="X179">
        <f t="shared" si="131"/>
        <v>0</v>
      </c>
      <c r="Y179">
        <f t="shared" si="131"/>
        <v>0</v>
      </c>
      <c r="AA179">
        <v>42253831</v>
      </c>
      <c r="AB179">
        <f>ROUND((AC179+AD179+AF179),6)</f>
        <v>139.63</v>
      </c>
      <c r="AC179">
        <f>ROUND((ES179),6)</f>
        <v>139.63</v>
      </c>
      <c r="AD179">
        <f>ROUND((((ET179)-(EU179))+AE179),6)</f>
        <v>0</v>
      </c>
      <c r="AE179">
        <f t="shared" si="132"/>
        <v>0</v>
      </c>
      <c r="AF179">
        <f t="shared" si="132"/>
        <v>0</v>
      </c>
      <c r="AG179">
        <f>ROUND((AP179),6)</f>
        <v>0</v>
      </c>
      <c r="AH179">
        <f t="shared" si="133"/>
        <v>0</v>
      </c>
      <c r="AI179">
        <f t="shared" si="133"/>
        <v>0</v>
      </c>
      <c r="AJ179">
        <f>ROUND((AS179),6)</f>
        <v>0</v>
      </c>
      <c r="AK179">
        <v>139.63</v>
      </c>
      <c r="AL179">
        <v>139.63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1</v>
      </c>
      <c r="AW179">
        <v>1</v>
      </c>
      <c r="AZ179">
        <v>1</v>
      </c>
      <c r="BA179">
        <v>1</v>
      </c>
      <c r="BB179">
        <v>1</v>
      </c>
      <c r="BC179">
        <v>5.66</v>
      </c>
      <c r="BH179">
        <v>3</v>
      </c>
      <c r="BI179">
        <v>1</v>
      </c>
      <c r="BJ179" t="s">
        <v>286</v>
      </c>
      <c r="BM179">
        <v>500001</v>
      </c>
      <c r="BN179">
        <v>0</v>
      </c>
      <c r="BO179" t="s">
        <v>27</v>
      </c>
      <c r="BP179">
        <v>1</v>
      </c>
      <c r="BQ179">
        <v>8</v>
      </c>
      <c r="BR179">
        <v>0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Z179">
        <v>0</v>
      </c>
      <c r="CA179">
        <v>0</v>
      </c>
      <c r="CF179">
        <v>0</v>
      </c>
      <c r="CG179">
        <v>0</v>
      </c>
      <c r="CM179">
        <v>0</v>
      </c>
      <c r="CO179">
        <v>0</v>
      </c>
      <c r="CP179">
        <f>(P179+Q179+S179)</f>
        <v>3003.2</v>
      </c>
      <c r="CQ179">
        <f>AC179*BC179</f>
        <v>790.3058</v>
      </c>
      <c r="CR179">
        <f>AD179*BB179</f>
        <v>0</v>
      </c>
      <c r="CS179">
        <f>AE179*BS179</f>
        <v>0</v>
      </c>
      <c r="CT179">
        <f>AF179*BA179</f>
        <v>0</v>
      </c>
      <c r="CU179">
        <f t="shared" si="134"/>
        <v>0</v>
      </c>
      <c r="CV179">
        <f t="shared" si="134"/>
        <v>0</v>
      </c>
      <c r="CW179">
        <f t="shared" si="134"/>
        <v>0</v>
      </c>
      <c r="CX179">
        <f t="shared" si="134"/>
        <v>0</v>
      </c>
      <c r="CY179">
        <f>(((S179+R179)*AT179)/100)</f>
        <v>0</v>
      </c>
      <c r="CZ179">
        <f>(((S179+R179)*AU179)/100)</f>
        <v>0</v>
      </c>
      <c r="DN179">
        <v>0</v>
      </c>
      <c r="DO179">
        <v>0</v>
      </c>
      <c r="DP179">
        <v>1</v>
      </c>
      <c r="DQ179">
        <v>1</v>
      </c>
      <c r="DU179">
        <v>1007</v>
      </c>
      <c r="DV179" t="s">
        <v>140</v>
      </c>
      <c r="DW179" t="s">
        <v>140</v>
      </c>
      <c r="DX179">
        <v>1</v>
      </c>
      <c r="EE179">
        <v>39125306</v>
      </c>
      <c r="EF179">
        <v>8</v>
      </c>
      <c r="EG179" t="s">
        <v>142</v>
      </c>
      <c r="EH179">
        <v>0</v>
      </c>
      <c r="EJ179">
        <v>1</v>
      </c>
      <c r="EK179">
        <v>500001</v>
      </c>
      <c r="EL179" t="s">
        <v>143</v>
      </c>
      <c r="EM179" t="s">
        <v>144</v>
      </c>
      <c r="EQ179">
        <v>0</v>
      </c>
      <c r="ER179">
        <v>139.63</v>
      </c>
      <c r="ES179">
        <v>139.63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FQ179">
        <v>0</v>
      </c>
      <c r="FR179">
        <f>ROUND(IF(AND(BH179=3,BI179=3),P179,0),1)</f>
        <v>0</v>
      </c>
      <c r="FS179">
        <v>0</v>
      </c>
      <c r="FX179">
        <v>0</v>
      </c>
      <c r="FY179">
        <v>0</v>
      </c>
      <c r="GD179">
        <v>0</v>
      </c>
      <c r="GF179">
        <v>992648480</v>
      </c>
      <c r="GG179">
        <v>2</v>
      </c>
      <c r="GH179">
        <v>1</v>
      </c>
      <c r="GI179">
        <v>4</v>
      </c>
      <c r="GJ179">
        <v>0</v>
      </c>
      <c r="GK179">
        <f>ROUND(R179*(R12)/100,1)</f>
        <v>0</v>
      </c>
      <c r="GL179">
        <f>ROUND(IF(AND(BH179=3,BI179=3,FS179&lt;&gt;0),P179,0),1)</f>
        <v>0</v>
      </c>
      <c r="GM179">
        <f>ROUND(O179+X179+Y179+GK179,1)+GX179</f>
        <v>3003.2</v>
      </c>
      <c r="GN179">
        <f>IF(OR(BI179=0,BI179=1),GM179,0)</f>
        <v>3003.2</v>
      </c>
      <c r="GO179">
        <f>IF(BI179=2,GM179,0)</f>
        <v>0</v>
      </c>
      <c r="GP179">
        <f>IF(BI179=4,GM179,0)</f>
        <v>0</v>
      </c>
      <c r="GR179">
        <v>0</v>
      </c>
      <c r="GS179">
        <v>3</v>
      </c>
      <c r="GT179">
        <v>0</v>
      </c>
      <c r="GV179">
        <f>ROUND(GT179,6)</f>
        <v>0</v>
      </c>
      <c r="GW179">
        <v>1</v>
      </c>
      <c r="GX179">
        <f>ROUND(GV179*GW179*I179,1)</f>
        <v>0</v>
      </c>
      <c r="HA179">
        <v>0</v>
      </c>
      <c r="HB179">
        <v>0</v>
      </c>
      <c r="IK179">
        <v>0</v>
      </c>
    </row>
    <row r="180" spans="1:245" ht="12.75">
      <c r="A180">
        <v>19</v>
      </c>
      <c r="B180">
        <v>1</v>
      </c>
      <c r="G180" t="s">
        <v>287</v>
      </c>
      <c r="AA180">
        <v>1</v>
      </c>
      <c r="IK180">
        <v>0</v>
      </c>
    </row>
    <row r="181" spans="1:245" ht="12.75">
      <c r="A181">
        <v>17</v>
      </c>
      <c r="B181">
        <v>1</v>
      </c>
      <c r="C181">
        <f>ROW(SmtRes!A177)</f>
        <v>177</v>
      </c>
      <c r="D181">
        <f>ROW(EtalonRes!A180)</f>
        <v>180</v>
      </c>
      <c r="E181" t="s">
        <v>288</v>
      </c>
      <c r="F181" t="s">
        <v>289</v>
      </c>
      <c r="G181" t="s">
        <v>290</v>
      </c>
      <c r="H181" t="s">
        <v>291</v>
      </c>
      <c r="I181">
        <f>ROUND(0.03,3)</f>
        <v>0.03</v>
      </c>
      <c r="J181">
        <v>0</v>
      </c>
      <c r="O181">
        <f aca="true" t="shared" si="135" ref="O181:O186">ROUND(CP181,1)</f>
        <v>225.8</v>
      </c>
      <c r="P181">
        <f aca="true" t="shared" si="136" ref="P181:P186">ROUND(CQ181*I181,1)</f>
        <v>31.7</v>
      </c>
      <c r="Q181">
        <f aca="true" t="shared" si="137" ref="Q181:Q186">ROUND(CR181*I181,1)</f>
        <v>51.4</v>
      </c>
      <c r="R181">
        <f aca="true" t="shared" si="138" ref="R181:R186">ROUND(CS181*I181,1)</f>
        <v>42.7</v>
      </c>
      <c r="S181">
        <f aca="true" t="shared" si="139" ref="S181:S186">ROUND(CT181*I181,1)</f>
        <v>142.7</v>
      </c>
      <c r="T181">
        <f aca="true" t="shared" si="140" ref="T181:T186">ROUND(CU181*I181,1)</f>
        <v>0</v>
      </c>
      <c r="U181">
        <f aca="true" t="shared" si="141" ref="U181:U186">CV181*I181</f>
        <v>0.7607999999999999</v>
      </c>
      <c r="V181">
        <f aca="true" t="shared" si="142" ref="V181:V186">CW181*I181</f>
        <v>0.2112</v>
      </c>
      <c r="W181">
        <f aca="true" t="shared" si="143" ref="W181:W186">ROUND(CX181*I181,1)</f>
        <v>0</v>
      </c>
      <c r="X181">
        <f aca="true" t="shared" si="144" ref="X181:Y186">ROUND(CY181,1)</f>
        <v>150.2</v>
      </c>
      <c r="Y181">
        <f t="shared" si="144"/>
        <v>96.4</v>
      </c>
      <c r="AA181">
        <v>42253831</v>
      </c>
      <c r="AB181">
        <f aca="true" t="shared" si="145" ref="AB181:AB186">ROUND((AC181+AD181+AF181),6)</f>
        <v>665.75</v>
      </c>
      <c r="AC181">
        <f>ROUND((ES181),6)</f>
        <v>186.57</v>
      </c>
      <c r="AD181">
        <f aca="true" t="shared" si="146" ref="AD181:AD186">ROUND((((ET181)-(EU181))+AE181),6)</f>
        <v>240.8</v>
      </c>
      <c r="AE181">
        <f aca="true" t="shared" si="147" ref="AE181:AF186">ROUND((EU181),6)</f>
        <v>71.32</v>
      </c>
      <c r="AF181">
        <f t="shared" si="147"/>
        <v>238.38</v>
      </c>
      <c r="AG181">
        <f aca="true" t="shared" si="148" ref="AG181:AG186">ROUND((AP181),6)</f>
        <v>0</v>
      </c>
      <c r="AH181">
        <f aca="true" t="shared" si="149" ref="AH181:AI186">(EW181)</f>
        <v>25.36</v>
      </c>
      <c r="AI181">
        <f t="shared" si="149"/>
        <v>7.04</v>
      </c>
      <c r="AJ181">
        <f aca="true" t="shared" si="150" ref="AJ181:AJ186">ROUND((AS181),6)</f>
        <v>0</v>
      </c>
      <c r="AK181">
        <v>665.75</v>
      </c>
      <c r="AL181">
        <v>186.57</v>
      </c>
      <c r="AM181">
        <v>240.8</v>
      </c>
      <c r="AN181">
        <v>71.32</v>
      </c>
      <c r="AO181">
        <v>238.38</v>
      </c>
      <c r="AP181">
        <v>0</v>
      </c>
      <c r="AQ181">
        <v>25.36</v>
      </c>
      <c r="AR181">
        <v>7.04</v>
      </c>
      <c r="AS181">
        <v>0</v>
      </c>
      <c r="AT181">
        <v>81</v>
      </c>
      <c r="AU181">
        <v>52</v>
      </c>
      <c r="AV181">
        <v>1</v>
      </c>
      <c r="AW181">
        <v>1</v>
      </c>
      <c r="AZ181">
        <v>1</v>
      </c>
      <c r="BA181">
        <v>19.96</v>
      </c>
      <c r="BB181">
        <v>7.11</v>
      </c>
      <c r="BC181">
        <v>5.66</v>
      </c>
      <c r="BH181">
        <v>0</v>
      </c>
      <c r="BI181">
        <v>2</v>
      </c>
      <c r="BJ181" t="s">
        <v>292</v>
      </c>
      <c r="BM181">
        <v>108001</v>
      </c>
      <c r="BN181">
        <v>0</v>
      </c>
      <c r="BO181" t="s">
        <v>27</v>
      </c>
      <c r="BP181">
        <v>1</v>
      </c>
      <c r="BQ181">
        <v>3</v>
      </c>
      <c r="BR181">
        <v>0</v>
      </c>
      <c r="BS181">
        <v>19.96</v>
      </c>
      <c r="BT181">
        <v>1</v>
      </c>
      <c r="BU181">
        <v>1</v>
      </c>
      <c r="BV181">
        <v>1</v>
      </c>
      <c r="BW181">
        <v>1</v>
      </c>
      <c r="BX181">
        <v>1</v>
      </c>
      <c r="BZ181">
        <v>95</v>
      </c>
      <c r="CA181">
        <v>65</v>
      </c>
      <c r="CF181">
        <v>0</v>
      </c>
      <c r="CG181">
        <v>0</v>
      </c>
      <c r="CM181">
        <v>0</v>
      </c>
      <c r="CO181">
        <v>0</v>
      </c>
      <c r="CP181">
        <f aca="true" t="shared" si="151" ref="CP181:CP186">(P181+Q181+S181)</f>
        <v>225.79999999999998</v>
      </c>
      <c r="CQ181">
        <f aca="true" t="shared" si="152" ref="CQ181:CQ186">AC181*BC181</f>
        <v>1055.9862</v>
      </c>
      <c r="CR181">
        <f aca="true" t="shared" si="153" ref="CR181:CR186">AD181*BB181</f>
        <v>1712.0880000000002</v>
      </c>
      <c r="CS181">
        <f aca="true" t="shared" si="154" ref="CS181:CS186">AE181*BS181</f>
        <v>1423.5472</v>
      </c>
      <c r="CT181">
        <f aca="true" t="shared" si="155" ref="CT181:CT186">AF181*BA181</f>
        <v>4758.0648</v>
      </c>
      <c r="CU181">
        <f aca="true" t="shared" si="156" ref="CU181:CX186">AG181</f>
        <v>0</v>
      </c>
      <c r="CV181">
        <f t="shared" si="156"/>
        <v>25.36</v>
      </c>
      <c r="CW181">
        <f t="shared" si="156"/>
        <v>7.04</v>
      </c>
      <c r="CX181">
        <f t="shared" si="156"/>
        <v>0</v>
      </c>
      <c r="CY181">
        <f aca="true" t="shared" si="157" ref="CY181:CY186">(((S181+R181)*AT181)/100)</f>
        <v>150.17399999999998</v>
      </c>
      <c r="CZ181">
        <f aca="true" t="shared" si="158" ref="CZ181:CZ186">(((S181+R181)*AU181)/100)</f>
        <v>96.40799999999999</v>
      </c>
      <c r="DN181">
        <v>0</v>
      </c>
      <c r="DO181">
        <v>0</v>
      </c>
      <c r="DP181">
        <v>1</v>
      </c>
      <c r="DQ181">
        <v>1</v>
      </c>
      <c r="DU181">
        <v>1003</v>
      </c>
      <c r="DV181" t="s">
        <v>291</v>
      </c>
      <c r="DW181" t="s">
        <v>291</v>
      </c>
      <c r="DX181">
        <v>100</v>
      </c>
      <c r="EE181">
        <v>39125249</v>
      </c>
      <c r="EF181">
        <v>3</v>
      </c>
      <c r="EG181" t="s">
        <v>155</v>
      </c>
      <c r="EH181">
        <v>0</v>
      </c>
      <c r="EJ181">
        <v>2</v>
      </c>
      <c r="EK181">
        <v>108001</v>
      </c>
      <c r="EL181" t="s">
        <v>156</v>
      </c>
      <c r="EM181" t="s">
        <v>157</v>
      </c>
      <c r="EQ181">
        <v>0</v>
      </c>
      <c r="ER181">
        <v>665.75</v>
      </c>
      <c r="ES181">
        <v>186.57</v>
      </c>
      <c r="ET181">
        <v>240.8</v>
      </c>
      <c r="EU181">
        <v>71.32</v>
      </c>
      <c r="EV181">
        <v>238.38</v>
      </c>
      <c r="EW181">
        <v>25.36</v>
      </c>
      <c r="EX181">
        <v>7.04</v>
      </c>
      <c r="EY181">
        <v>0</v>
      </c>
      <c r="FQ181">
        <v>0</v>
      </c>
      <c r="FR181">
        <f aca="true" t="shared" si="159" ref="FR181:FR186">ROUND(IF(AND(BH181=3,BI181=3),P181,0),1)</f>
        <v>0</v>
      </c>
      <c r="FS181">
        <v>0</v>
      </c>
      <c r="FV181" t="s">
        <v>31</v>
      </c>
      <c r="FW181" t="s">
        <v>32</v>
      </c>
      <c r="FX181">
        <v>95</v>
      </c>
      <c r="FY181">
        <v>65</v>
      </c>
      <c r="GD181">
        <v>0</v>
      </c>
      <c r="GF181">
        <v>-2139715607</v>
      </c>
      <c r="GG181">
        <v>2</v>
      </c>
      <c r="GH181">
        <v>1</v>
      </c>
      <c r="GI181">
        <v>4</v>
      </c>
      <c r="GJ181">
        <v>0</v>
      </c>
      <c r="GK181">
        <f>ROUND(R181*(R12)/100,1)</f>
        <v>0</v>
      </c>
      <c r="GL181">
        <f aca="true" t="shared" si="160" ref="GL181:GL186">ROUND(IF(AND(BH181=3,BI181=3,FS181&lt;&gt;0),P181,0),1)</f>
        <v>0</v>
      </c>
      <c r="GM181">
        <f aca="true" t="shared" si="161" ref="GM181:GM186">ROUND(O181+X181+Y181+GK181,1)+GX181</f>
        <v>472.4</v>
      </c>
      <c r="GN181">
        <f aca="true" t="shared" si="162" ref="GN181:GN186">IF(OR(BI181=0,BI181=1),GM181,0)</f>
        <v>0</v>
      </c>
      <c r="GO181">
        <f aca="true" t="shared" si="163" ref="GO181:GO186">IF(BI181=2,GM181,0)</f>
        <v>472.4</v>
      </c>
      <c r="GP181">
        <f aca="true" t="shared" si="164" ref="GP181:GP186">IF(BI181=4,GM181,0)</f>
        <v>0</v>
      </c>
      <c r="GR181">
        <v>0</v>
      </c>
      <c r="GS181">
        <v>3</v>
      </c>
      <c r="GT181">
        <v>0</v>
      </c>
      <c r="GV181">
        <f aca="true" t="shared" si="165" ref="GV181:GV186">ROUND(GT181,6)</f>
        <v>0</v>
      </c>
      <c r="GW181">
        <v>19.96</v>
      </c>
      <c r="GX181">
        <f aca="true" t="shared" si="166" ref="GX181:GX186">ROUND(GV181*GW181*I181,1)</f>
        <v>0</v>
      </c>
      <c r="HA181">
        <v>0</v>
      </c>
      <c r="HB181">
        <v>0</v>
      </c>
      <c r="IK181">
        <v>0</v>
      </c>
    </row>
    <row r="182" spans="1:245" ht="12.75">
      <c r="A182">
        <v>17</v>
      </c>
      <c r="B182">
        <v>1</v>
      </c>
      <c r="E182" t="s">
        <v>293</v>
      </c>
      <c r="F182" t="s">
        <v>158</v>
      </c>
      <c r="G182" t="s">
        <v>294</v>
      </c>
      <c r="H182" t="s">
        <v>295</v>
      </c>
      <c r="I182">
        <f>ROUND(3,3)</f>
        <v>3</v>
      </c>
      <c r="J182">
        <v>0</v>
      </c>
      <c r="O182">
        <f t="shared" si="135"/>
        <v>1257.7</v>
      </c>
      <c r="P182">
        <f t="shared" si="136"/>
        <v>1257.7</v>
      </c>
      <c r="Q182">
        <f t="shared" si="137"/>
        <v>0</v>
      </c>
      <c r="R182">
        <f t="shared" si="138"/>
        <v>0</v>
      </c>
      <c r="S182">
        <f t="shared" si="139"/>
        <v>0</v>
      </c>
      <c r="T182">
        <f t="shared" si="140"/>
        <v>0</v>
      </c>
      <c r="U182">
        <f t="shared" si="141"/>
        <v>0</v>
      </c>
      <c r="V182">
        <f t="shared" si="142"/>
        <v>0</v>
      </c>
      <c r="W182">
        <f t="shared" si="143"/>
        <v>0</v>
      </c>
      <c r="X182">
        <f t="shared" si="144"/>
        <v>0</v>
      </c>
      <c r="Y182">
        <f t="shared" si="144"/>
        <v>0</v>
      </c>
      <c r="AA182">
        <v>42253831</v>
      </c>
      <c r="AB182">
        <f t="shared" si="145"/>
        <v>74.070192</v>
      </c>
      <c r="AC182">
        <f>ROUND(((485/1.18/5.66)*1.02),6)</f>
        <v>74.070192</v>
      </c>
      <c r="AD182">
        <f t="shared" si="146"/>
        <v>0</v>
      </c>
      <c r="AE182">
        <f t="shared" si="147"/>
        <v>0</v>
      </c>
      <c r="AF182">
        <f t="shared" si="147"/>
        <v>0</v>
      </c>
      <c r="AG182">
        <f t="shared" si="148"/>
        <v>0</v>
      </c>
      <c r="AH182">
        <f t="shared" si="149"/>
        <v>0</v>
      </c>
      <c r="AI182">
        <f t="shared" si="149"/>
        <v>0</v>
      </c>
      <c r="AJ182">
        <f t="shared" si="150"/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1</v>
      </c>
      <c r="AW182">
        <v>1</v>
      </c>
      <c r="AZ182">
        <v>1</v>
      </c>
      <c r="BA182">
        <v>1</v>
      </c>
      <c r="BB182">
        <v>1</v>
      </c>
      <c r="BC182">
        <v>5.66</v>
      </c>
      <c r="BH182">
        <v>3</v>
      </c>
      <c r="BI182">
        <v>1</v>
      </c>
      <c r="BM182">
        <v>1100</v>
      </c>
      <c r="BN182">
        <v>0</v>
      </c>
      <c r="BO182" t="s">
        <v>27</v>
      </c>
      <c r="BP182">
        <v>1</v>
      </c>
      <c r="BQ182">
        <v>8</v>
      </c>
      <c r="BR182">
        <v>0</v>
      </c>
      <c r="BS182">
        <v>1</v>
      </c>
      <c r="BT182">
        <v>1</v>
      </c>
      <c r="BU182">
        <v>1</v>
      </c>
      <c r="BV182">
        <v>1</v>
      </c>
      <c r="BW182">
        <v>1</v>
      </c>
      <c r="BX182">
        <v>1</v>
      </c>
      <c r="BZ182">
        <v>0</v>
      </c>
      <c r="CA182">
        <v>0</v>
      </c>
      <c r="CF182">
        <v>0</v>
      </c>
      <c r="CG182">
        <v>0</v>
      </c>
      <c r="CM182">
        <v>0</v>
      </c>
      <c r="CO182">
        <v>0</v>
      </c>
      <c r="CP182">
        <f t="shared" si="151"/>
        <v>1257.7</v>
      </c>
      <c r="CQ182">
        <f t="shared" si="152"/>
        <v>419.23728672000004</v>
      </c>
      <c r="CR182">
        <f t="shared" si="153"/>
        <v>0</v>
      </c>
      <c r="CS182">
        <f t="shared" si="154"/>
        <v>0</v>
      </c>
      <c r="CT182">
        <f t="shared" si="155"/>
        <v>0</v>
      </c>
      <c r="CU182">
        <f t="shared" si="156"/>
        <v>0</v>
      </c>
      <c r="CV182">
        <f t="shared" si="156"/>
        <v>0</v>
      </c>
      <c r="CW182">
        <f t="shared" si="156"/>
        <v>0</v>
      </c>
      <c r="CX182">
        <f t="shared" si="156"/>
        <v>0</v>
      </c>
      <c r="CY182">
        <f t="shared" si="157"/>
        <v>0</v>
      </c>
      <c r="CZ182">
        <f t="shared" si="158"/>
        <v>0</v>
      </c>
      <c r="DD182" t="s">
        <v>296</v>
      </c>
      <c r="DN182">
        <v>0</v>
      </c>
      <c r="DO182">
        <v>0</v>
      </c>
      <c r="DP182">
        <v>1</v>
      </c>
      <c r="DQ182">
        <v>1</v>
      </c>
      <c r="DU182">
        <v>1003</v>
      </c>
      <c r="DV182" t="s">
        <v>295</v>
      </c>
      <c r="DW182" t="s">
        <v>297</v>
      </c>
      <c r="DX182">
        <v>2</v>
      </c>
      <c r="EE182">
        <v>39125556</v>
      </c>
      <c r="EF182">
        <v>8</v>
      </c>
      <c r="EG182" t="s">
        <v>142</v>
      </c>
      <c r="EH182">
        <v>0</v>
      </c>
      <c r="EJ182">
        <v>1</v>
      </c>
      <c r="EK182">
        <v>1100</v>
      </c>
      <c r="EL182" t="s">
        <v>163</v>
      </c>
      <c r="EM182" t="s">
        <v>164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FQ182">
        <v>0</v>
      </c>
      <c r="FR182">
        <f t="shared" si="159"/>
        <v>0</v>
      </c>
      <c r="FS182">
        <v>0</v>
      </c>
      <c r="FX182">
        <v>0</v>
      </c>
      <c r="FY182">
        <v>0</v>
      </c>
      <c r="GD182">
        <v>0</v>
      </c>
      <c r="GF182">
        <v>1348858361</v>
      </c>
      <c r="GG182">
        <v>2</v>
      </c>
      <c r="GH182">
        <v>0</v>
      </c>
      <c r="GI182">
        <v>4</v>
      </c>
      <c r="GJ182">
        <v>0</v>
      </c>
      <c r="GK182">
        <f>ROUND(R182*(R12)/100,1)</f>
        <v>0</v>
      </c>
      <c r="GL182">
        <f t="shared" si="160"/>
        <v>0</v>
      </c>
      <c r="GM182">
        <f t="shared" si="161"/>
        <v>1257.7</v>
      </c>
      <c r="GN182">
        <f t="shared" si="162"/>
        <v>1257.7</v>
      </c>
      <c r="GO182">
        <f t="shared" si="163"/>
        <v>0</v>
      </c>
      <c r="GP182">
        <f t="shared" si="164"/>
        <v>0</v>
      </c>
      <c r="GR182">
        <v>0</v>
      </c>
      <c r="GS182">
        <v>3</v>
      </c>
      <c r="GT182">
        <v>0</v>
      </c>
      <c r="GV182">
        <f t="shared" si="165"/>
        <v>0</v>
      </c>
      <c r="GW182">
        <v>1</v>
      </c>
      <c r="GX182">
        <f t="shared" si="166"/>
        <v>0</v>
      </c>
      <c r="HA182">
        <v>0</v>
      </c>
      <c r="HB182">
        <v>0</v>
      </c>
      <c r="IK182">
        <v>0</v>
      </c>
    </row>
    <row r="183" spans="1:245" ht="12.75">
      <c r="A183">
        <v>17</v>
      </c>
      <c r="B183">
        <v>1</v>
      </c>
      <c r="C183">
        <f>ROW(SmtRes!A186)</f>
        <v>186</v>
      </c>
      <c r="D183">
        <f>ROW(EtalonRes!A188)</f>
        <v>188</v>
      </c>
      <c r="E183" t="s">
        <v>298</v>
      </c>
      <c r="F183" t="s">
        <v>299</v>
      </c>
      <c r="G183" t="s">
        <v>300</v>
      </c>
      <c r="H183" t="s">
        <v>227</v>
      </c>
      <c r="I183">
        <f>ROUND(0.8,3)</f>
        <v>0.8</v>
      </c>
      <c r="J183">
        <v>0</v>
      </c>
      <c r="O183">
        <f t="shared" si="135"/>
        <v>4078.7</v>
      </c>
      <c r="P183">
        <f t="shared" si="136"/>
        <v>2199.9</v>
      </c>
      <c r="Q183">
        <f t="shared" si="137"/>
        <v>272.7</v>
      </c>
      <c r="R183">
        <f t="shared" si="138"/>
        <v>76.2</v>
      </c>
      <c r="S183">
        <f t="shared" si="139"/>
        <v>1606.1</v>
      </c>
      <c r="T183">
        <f t="shared" si="140"/>
        <v>0</v>
      </c>
      <c r="U183">
        <f t="shared" si="141"/>
        <v>8.56</v>
      </c>
      <c r="V183">
        <f t="shared" si="142"/>
        <v>0.30400000000000005</v>
      </c>
      <c r="W183">
        <f t="shared" si="143"/>
        <v>0</v>
      </c>
      <c r="X183">
        <f t="shared" si="144"/>
        <v>1362.7</v>
      </c>
      <c r="Y183">
        <f t="shared" si="144"/>
        <v>874.8</v>
      </c>
      <c r="AA183">
        <v>42253831</v>
      </c>
      <c r="AB183">
        <f t="shared" si="145"/>
        <v>634.36</v>
      </c>
      <c r="AC183">
        <f>ROUND((ES183),6)</f>
        <v>485.84</v>
      </c>
      <c r="AD183">
        <f t="shared" si="146"/>
        <v>47.94</v>
      </c>
      <c r="AE183">
        <f t="shared" si="147"/>
        <v>4.77</v>
      </c>
      <c r="AF183">
        <f t="shared" si="147"/>
        <v>100.58</v>
      </c>
      <c r="AG183">
        <f t="shared" si="148"/>
        <v>0</v>
      </c>
      <c r="AH183">
        <f t="shared" si="149"/>
        <v>10.7</v>
      </c>
      <c r="AI183">
        <f t="shared" si="149"/>
        <v>0.38</v>
      </c>
      <c r="AJ183">
        <f t="shared" si="150"/>
        <v>0</v>
      </c>
      <c r="AK183">
        <v>634.36</v>
      </c>
      <c r="AL183">
        <v>485.84</v>
      </c>
      <c r="AM183">
        <v>47.94</v>
      </c>
      <c r="AN183">
        <v>4.77</v>
      </c>
      <c r="AO183">
        <v>100.58</v>
      </c>
      <c r="AP183">
        <v>0</v>
      </c>
      <c r="AQ183">
        <v>10.7</v>
      </c>
      <c r="AR183">
        <v>0.38</v>
      </c>
      <c r="AS183">
        <v>0</v>
      </c>
      <c r="AT183">
        <v>81</v>
      </c>
      <c r="AU183">
        <v>52</v>
      </c>
      <c r="AV183">
        <v>1</v>
      </c>
      <c r="AW183">
        <v>1</v>
      </c>
      <c r="AZ183">
        <v>1</v>
      </c>
      <c r="BA183">
        <v>19.96</v>
      </c>
      <c r="BB183">
        <v>7.11</v>
      </c>
      <c r="BC183">
        <v>5.66</v>
      </c>
      <c r="BH183">
        <v>0</v>
      </c>
      <c r="BI183">
        <v>2</v>
      </c>
      <c r="BJ183" t="s">
        <v>301</v>
      </c>
      <c r="BM183">
        <v>108001</v>
      </c>
      <c r="BN183">
        <v>0</v>
      </c>
      <c r="BO183" t="s">
        <v>27</v>
      </c>
      <c r="BP183">
        <v>1</v>
      </c>
      <c r="BQ183">
        <v>3</v>
      </c>
      <c r="BR183">
        <v>0</v>
      </c>
      <c r="BS183">
        <v>19.96</v>
      </c>
      <c r="BT183">
        <v>1</v>
      </c>
      <c r="BU183">
        <v>1</v>
      </c>
      <c r="BV183">
        <v>1</v>
      </c>
      <c r="BW183">
        <v>1</v>
      </c>
      <c r="BX183">
        <v>1</v>
      </c>
      <c r="BZ183">
        <v>95</v>
      </c>
      <c r="CA183">
        <v>65</v>
      </c>
      <c r="CF183">
        <v>0</v>
      </c>
      <c r="CG183">
        <v>0</v>
      </c>
      <c r="CM183">
        <v>0</v>
      </c>
      <c r="CO183">
        <v>0</v>
      </c>
      <c r="CP183">
        <f t="shared" si="151"/>
        <v>4078.7</v>
      </c>
      <c r="CQ183">
        <f t="shared" si="152"/>
        <v>2749.8543999999997</v>
      </c>
      <c r="CR183">
        <f t="shared" si="153"/>
        <v>340.8534</v>
      </c>
      <c r="CS183">
        <f t="shared" si="154"/>
        <v>95.2092</v>
      </c>
      <c r="CT183">
        <f t="shared" si="155"/>
        <v>2007.5768</v>
      </c>
      <c r="CU183">
        <f t="shared" si="156"/>
        <v>0</v>
      </c>
      <c r="CV183">
        <f t="shared" si="156"/>
        <v>10.7</v>
      </c>
      <c r="CW183">
        <f t="shared" si="156"/>
        <v>0.38</v>
      </c>
      <c r="CX183">
        <f t="shared" si="156"/>
        <v>0</v>
      </c>
      <c r="CY183">
        <f t="shared" si="157"/>
        <v>1362.6629999999998</v>
      </c>
      <c r="CZ183">
        <f t="shared" si="158"/>
        <v>874.7959999999999</v>
      </c>
      <c r="DN183">
        <v>0</v>
      </c>
      <c r="DO183">
        <v>0</v>
      </c>
      <c r="DP183">
        <v>1</v>
      </c>
      <c r="DQ183">
        <v>1</v>
      </c>
      <c r="DU183">
        <v>1013</v>
      </c>
      <c r="DV183" t="s">
        <v>227</v>
      </c>
      <c r="DW183" t="s">
        <v>227</v>
      </c>
      <c r="DX183">
        <v>1</v>
      </c>
      <c r="EE183">
        <v>39125249</v>
      </c>
      <c r="EF183">
        <v>3</v>
      </c>
      <c r="EG183" t="s">
        <v>155</v>
      </c>
      <c r="EH183">
        <v>0</v>
      </c>
      <c r="EJ183">
        <v>2</v>
      </c>
      <c r="EK183">
        <v>108001</v>
      </c>
      <c r="EL183" t="s">
        <v>156</v>
      </c>
      <c r="EM183" t="s">
        <v>157</v>
      </c>
      <c r="EQ183">
        <v>0</v>
      </c>
      <c r="ER183">
        <v>634.36</v>
      </c>
      <c r="ES183">
        <v>485.84</v>
      </c>
      <c r="ET183">
        <v>47.94</v>
      </c>
      <c r="EU183">
        <v>4.77</v>
      </c>
      <c r="EV183">
        <v>100.58</v>
      </c>
      <c r="EW183">
        <v>10.7</v>
      </c>
      <c r="EX183">
        <v>0.38</v>
      </c>
      <c r="EY183">
        <v>0</v>
      </c>
      <c r="FQ183">
        <v>0</v>
      </c>
      <c r="FR183">
        <f t="shared" si="159"/>
        <v>0</v>
      </c>
      <c r="FS183">
        <v>0</v>
      </c>
      <c r="FV183" t="s">
        <v>31</v>
      </c>
      <c r="FW183" t="s">
        <v>32</v>
      </c>
      <c r="FX183">
        <v>95</v>
      </c>
      <c r="FY183">
        <v>65</v>
      </c>
      <c r="GD183">
        <v>0</v>
      </c>
      <c r="GF183">
        <v>-644322003</v>
      </c>
      <c r="GG183">
        <v>2</v>
      </c>
      <c r="GH183">
        <v>1</v>
      </c>
      <c r="GI183">
        <v>4</v>
      </c>
      <c r="GJ183">
        <v>0</v>
      </c>
      <c r="GK183">
        <f>ROUND(R183*(R12)/100,1)</f>
        <v>0</v>
      </c>
      <c r="GL183">
        <f t="shared" si="160"/>
        <v>0</v>
      </c>
      <c r="GM183">
        <f t="shared" si="161"/>
        <v>6316.2</v>
      </c>
      <c r="GN183">
        <f t="shared" si="162"/>
        <v>0</v>
      </c>
      <c r="GO183">
        <f t="shared" si="163"/>
        <v>6316.2</v>
      </c>
      <c r="GP183">
        <f t="shared" si="164"/>
        <v>0</v>
      </c>
      <c r="GR183">
        <v>0</v>
      </c>
      <c r="GS183">
        <v>3</v>
      </c>
      <c r="GT183">
        <v>0</v>
      </c>
      <c r="GV183">
        <f t="shared" si="165"/>
        <v>0</v>
      </c>
      <c r="GW183">
        <v>19.96</v>
      </c>
      <c r="GX183">
        <f t="shared" si="166"/>
        <v>0</v>
      </c>
      <c r="HA183">
        <v>0</v>
      </c>
      <c r="HB183">
        <v>0</v>
      </c>
      <c r="IK183">
        <v>0</v>
      </c>
    </row>
    <row r="184" spans="1:245" ht="12.75">
      <c r="A184">
        <v>18</v>
      </c>
      <c r="B184">
        <v>1</v>
      </c>
      <c r="C184">
        <v>184</v>
      </c>
      <c r="E184" t="s">
        <v>302</v>
      </c>
      <c r="F184" t="s">
        <v>303</v>
      </c>
      <c r="G184" t="s">
        <v>304</v>
      </c>
      <c r="H184" t="s">
        <v>246</v>
      </c>
      <c r="I184">
        <f>I183*J184</f>
        <v>0.10399999999999998</v>
      </c>
      <c r="J184">
        <v>0.12999999999999998</v>
      </c>
      <c r="O184">
        <f t="shared" si="135"/>
        <v>3392.3</v>
      </c>
      <c r="P184">
        <f t="shared" si="136"/>
        <v>3392.3</v>
      </c>
      <c r="Q184">
        <f t="shared" si="137"/>
        <v>0</v>
      </c>
      <c r="R184">
        <f t="shared" si="138"/>
        <v>0</v>
      </c>
      <c r="S184">
        <f t="shared" si="139"/>
        <v>0</v>
      </c>
      <c r="T184">
        <f t="shared" si="140"/>
        <v>0</v>
      </c>
      <c r="U184">
        <f t="shared" si="141"/>
        <v>0</v>
      </c>
      <c r="V184">
        <f t="shared" si="142"/>
        <v>0</v>
      </c>
      <c r="W184">
        <f t="shared" si="143"/>
        <v>0</v>
      </c>
      <c r="X184">
        <f t="shared" si="144"/>
        <v>0</v>
      </c>
      <c r="Y184">
        <f t="shared" si="144"/>
        <v>0</v>
      </c>
      <c r="AA184">
        <v>42253831</v>
      </c>
      <c r="AB184">
        <f t="shared" si="145"/>
        <v>5763</v>
      </c>
      <c r="AC184">
        <f>ROUND((ES184),6)</f>
        <v>5763</v>
      </c>
      <c r="AD184">
        <f t="shared" si="146"/>
        <v>0</v>
      </c>
      <c r="AE184">
        <f t="shared" si="147"/>
        <v>0</v>
      </c>
      <c r="AF184">
        <f t="shared" si="147"/>
        <v>0</v>
      </c>
      <c r="AG184">
        <f t="shared" si="148"/>
        <v>0</v>
      </c>
      <c r="AH184">
        <f t="shared" si="149"/>
        <v>0</v>
      </c>
      <c r="AI184">
        <f t="shared" si="149"/>
        <v>0</v>
      </c>
      <c r="AJ184">
        <f t="shared" si="150"/>
        <v>0</v>
      </c>
      <c r="AK184">
        <v>5763</v>
      </c>
      <c r="AL184">
        <v>5763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95</v>
      </c>
      <c r="AU184">
        <v>65</v>
      </c>
      <c r="AV184">
        <v>1</v>
      </c>
      <c r="AW184">
        <v>1</v>
      </c>
      <c r="AZ184">
        <v>1</v>
      </c>
      <c r="BA184">
        <v>1</v>
      </c>
      <c r="BB184">
        <v>1</v>
      </c>
      <c r="BC184">
        <v>5.66</v>
      </c>
      <c r="BH184">
        <v>3</v>
      </c>
      <c r="BI184">
        <v>2</v>
      </c>
      <c r="BJ184" t="s">
        <v>305</v>
      </c>
      <c r="BM184">
        <v>500001</v>
      </c>
      <c r="BN184">
        <v>0</v>
      </c>
      <c r="BO184" t="s">
        <v>27</v>
      </c>
      <c r="BP184">
        <v>1</v>
      </c>
      <c r="BQ184">
        <v>8</v>
      </c>
      <c r="BR184">
        <v>0</v>
      </c>
      <c r="BS184">
        <v>1</v>
      </c>
      <c r="BT184">
        <v>1</v>
      </c>
      <c r="BU184">
        <v>1</v>
      </c>
      <c r="BV184">
        <v>1</v>
      </c>
      <c r="BW184">
        <v>1</v>
      </c>
      <c r="BX184">
        <v>1</v>
      </c>
      <c r="BZ184">
        <v>95</v>
      </c>
      <c r="CA184">
        <v>65</v>
      </c>
      <c r="CF184">
        <v>0</v>
      </c>
      <c r="CG184">
        <v>0</v>
      </c>
      <c r="CM184">
        <v>0</v>
      </c>
      <c r="CO184">
        <v>0</v>
      </c>
      <c r="CP184">
        <f t="shared" si="151"/>
        <v>3392.3</v>
      </c>
      <c r="CQ184">
        <f t="shared" si="152"/>
        <v>32618.58</v>
      </c>
      <c r="CR184">
        <f t="shared" si="153"/>
        <v>0</v>
      </c>
      <c r="CS184">
        <f t="shared" si="154"/>
        <v>0</v>
      </c>
      <c r="CT184">
        <f t="shared" si="155"/>
        <v>0</v>
      </c>
      <c r="CU184">
        <f t="shared" si="156"/>
        <v>0</v>
      </c>
      <c r="CV184">
        <f t="shared" si="156"/>
        <v>0</v>
      </c>
      <c r="CW184">
        <f t="shared" si="156"/>
        <v>0</v>
      </c>
      <c r="CX184">
        <f t="shared" si="156"/>
        <v>0</v>
      </c>
      <c r="CY184">
        <f t="shared" si="157"/>
        <v>0</v>
      </c>
      <c r="CZ184">
        <f t="shared" si="158"/>
        <v>0</v>
      </c>
      <c r="DN184">
        <v>0</v>
      </c>
      <c r="DO184">
        <v>0</v>
      </c>
      <c r="DP184">
        <v>1</v>
      </c>
      <c r="DQ184">
        <v>1</v>
      </c>
      <c r="DU184">
        <v>1009</v>
      </c>
      <c r="DV184" t="s">
        <v>246</v>
      </c>
      <c r="DW184" t="s">
        <v>246</v>
      </c>
      <c r="DX184">
        <v>1000</v>
      </c>
      <c r="EE184">
        <v>39125306</v>
      </c>
      <c r="EF184">
        <v>8</v>
      </c>
      <c r="EG184" t="s">
        <v>142</v>
      </c>
      <c r="EH184">
        <v>0</v>
      </c>
      <c r="EJ184">
        <v>1</v>
      </c>
      <c r="EK184">
        <v>500001</v>
      </c>
      <c r="EL184" t="s">
        <v>143</v>
      </c>
      <c r="EM184" t="s">
        <v>144</v>
      </c>
      <c r="EQ184">
        <v>0</v>
      </c>
      <c r="ER184">
        <v>5763</v>
      </c>
      <c r="ES184">
        <v>5763</v>
      </c>
      <c r="ET184">
        <v>0</v>
      </c>
      <c r="EU184">
        <v>0</v>
      </c>
      <c r="EV184">
        <v>0</v>
      </c>
      <c r="EW184">
        <v>0</v>
      </c>
      <c r="EX184">
        <v>0</v>
      </c>
      <c r="FQ184">
        <v>0</v>
      </c>
      <c r="FR184">
        <f t="shared" si="159"/>
        <v>0</v>
      </c>
      <c r="FS184">
        <v>0</v>
      </c>
      <c r="FX184">
        <v>95</v>
      </c>
      <c r="FY184">
        <v>65</v>
      </c>
      <c r="GD184">
        <v>0</v>
      </c>
      <c r="GF184">
        <v>-2125146360</v>
      </c>
      <c r="GG184">
        <v>2</v>
      </c>
      <c r="GH184">
        <v>1</v>
      </c>
      <c r="GI184">
        <v>4</v>
      </c>
      <c r="GJ184">
        <v>0</v>
      </c>
      <c r="GK184">
        <f>ROUND(R184*(R12)/100,1)</f>
        <v>0</v>
      </c>
      <c r="GL184">
        <f t="shared" si="160"/>
        <v>0</v>
      </c>
      <c r="GM184">
        <f t="shared" si="161"/>
        <v>3392.3</v>
      </c>
      <c r="GN184">
        <f t="shared" si="162"/>
        <v>0</v>
      </c>
      <c r="GO184">
        <f t="shared" si="163"/>
        <v>3392.3</v>
      </c>
      <c r="GP184">
        <f t="shared" si="164"/>
        <v>0</v>
      </c>
      <c r="GR184">
        <v>0</v>
      </c>
      <c r="GS184">
        <v>0</v>
      </c>
      <c r="GT184">
        <v>0</v>
      </c>
      <c r="GV184">
        <f t="shared" si="165"/>
        <v>0</v>
      </c>
      <c r="GW184">
        <v>1</v>
      </c>
      <c r="GX184">
        <f t="shared" si="166"/>
        <v>0</v>
      </c>
      <c r="HA184">
        <v>0</v>
      </c>
      <c r="HB184">
        <v>0</v>
      </c>
      <c r="IK184">
        <v>0</v>
      </c>
    </row>
    <row r="185" spans="1:245" ht="12.75">
      <c r="A185">
        <v>17</v>
      </c>
      <c r="B185">
        <v>1</v>
      </c>
      <c r="C185">
        <f>ROW(SmtRes!A195)</f>
        <v>195</v>
      </c>
      <c r="D185">
        <f>ROW(EtalonRes!A196)</f>
        <v>196</v>
      </c>
      <c r="E185" t="s">
        <v>306</v>
      </c>
      <c r="F185" t="s">
        <v>307</v>
      </c>
      <c r="G185" t="s">
        <v>308</v>
      </c>
      <c r="H185" t="s">
        <v>291</v>
      </c>
      <c r="I185">
        <f>ROUND(0.42,3)</f>
        <v>0.42</v>
      </c>
      <c r="J185">
        <v>0</v>
      </c>
      <c r="O185">
        <f t="shared" si="135"/>
        <v>3628.2</v>
      </c>
      <c r="P185">
        <f t="shared" si="136"/>
        <v>2127.6</v>
      </c>
      <c r="Q185">
        <f t="shared" si="137"/>
        <v>192.5</v>
      </c>
      <c r="R185">
        <f t="shared" si="138"/>
        <v>46.3</v>
      </c>
      <c r="S185">
        <f t="shared" si="139"/>
        <v>1308.1</v>
      </c>
      <c r="T185">
        <f t="shared" si="140"/>
        <v>0</v>
      </c>
      <c r="U185">
        <f t="shared" si="141"/>
        <v>6.972</v>
      </c>
      <c r="V185">
        <f t="shared" si="142"/>
        <v>0.1848</v>
      </c>
      <c r="W185">
        <f t="shared" si="143"/>
        <v>0</v>
      </c>
      <c r="X185">
        <f t="shared" si="144"/>
        <v>1097.1</v>
      </c>
      <c r="Y185">
        <f t="shared" si="144"/>
        <v>704.3</v>
      </c>
      <c r="AA185">
        <v>42253831</v>
      </c>
      <c r="AB185">
        <f t="shared" si="145"/>
        <v>1115.5</v>
      </c>
      <c r="AC185">
        <f>ROUND((ES185),6)</f>
        <v>895.01</v>
      </c>
      <c r="AD185">
        <f t="shared" si="146"/>
        <v>64.45</v>
      </c>
      <c r="AE185">
        <f t="shared" si="147"/>
        <v>5.52</v>
      </c>
      <c r="AF185">
        <f t="shared" si="147"/>
        <v>156.04</v>
      </c>
      <c r="AG185">
        <f t="shared" si="148"/>
        <v>0</v>
      </c>
      <c r="AH185">
        <f t="shared" si="149"/>
        <v>16.6</v>
      </c>
      <c r="AI185">
        <f t="shared" si="149"/>
        <v>0.44</v>
      </c>
      <c r="AJ185">
        <f t="shared" si="150"/>
        <v>0</v>
      </c>
      <c r="AK185">
        <v>1115.5</v>
      </c>
      <c r="AL185">
        <v>895.01</v>
      </c>
      <c r="AM185">
        <v>64.45</v>
      </c>
      <c r="AN185">
        <v>5.52</v>
      </c>
      <c r="AO185">
        <v>156.04</v>
      </c>
      <c r="AP185">
        <v>0</v>
      </c>
      <c r="AQ185">
        <v>16.6</v>
      </c>
      <c r="AR185">
        <v>0.44</v>
      </c>
      <c r="AS185">
        <v>0</v>
      </c>
      <c r="AT185">
        <v>81</v>
      </c>
      <c r="AU185">
        <v>52</v>
      </c>
      <c r="AV185">
        <v>1</v>
      </c>
      <c r="AW185">
        <v>1</v>
      </c>
      <c r="AZ185">
        <v>1</v>
      </c>
      <c r="BA185">
        <v>19.96</v>
      </c>
      <c r="BB185">
        <v>7.11</v>
      </c>
      <c r="BC185">
        <v>5.66</v>
      </c>
      <c r="BH185">
        <v>0</v>
      </c>
      <c r="BI185">
        <v>2</v>
      </c>
      <c r="BJ185" t="s">
        <v>309</v>
      </c>
      <c r="BM185">
        <v>108001</v>
      </c>
      <c r="BN185">
        <v>0</v>
      </c>
      <c r="BO185" t="s">
        <v>27</v>
      </c>
      <c r="BP185">
        <v>1</v>
      </c>
      <c r="BQ185">
        <v>3</v>
      </c>
      <c r="BR185">
        <v>0</v>
      </c>
      <c r="BS185">
        <v>19.96</v>
      </c>
      <c r="BT185">
        <v>1</v>
      </c>
      <c r="BU185">
        <v>1</v>
      </c>
      <c r="BV185">
        <v>1</v>
      </c>
      <c r="BW185">
        <v>1</v>
      </c>
      <c r="BX185">
        <v>1</v>
      </c>
      <c r="BZ185">
        <v>95</v>
      </c>
      <c r="CA185">
        <v>65</v>
      </c>
      <c r="CF185">
        <v>0</v>
      </c>
      <c r="CG185">
        <v>0</v>
      </c>
      <c r="CM185">
        <v>0</v>
      </c>
      <c r="CO185">
        <v>0</v>
      </c>
      <c r="CP185">
        <f t="shared" si="151"/>
        <v>3628.2</v>
      </c>
      <c r="CQ185">
        <f t="shared" si="152"/>
        <v>5065.7566</v>
      </c>
      <c r="CR185">
        <f t="shared" si="153"/>
        <v>458.2395</v>
      </c>
      <c r="CS185">
        <f t="shared" si="154"/>
        <v>110.1792</v>
      </c>
      <c r="CT185">
        <f t="shared" si="155"/>
        <v>3114.5584</v>
      </c>
      <c r="CU185">
        <f t="shared" si="156"/>
        <v>0</v>
      </c>
      <c r="CV185">
        <f t="shared" si="156"/>
        <v>16.6</v>
      </c>
      <c r="CW185">
        <f t="shared" si="156"/>
        <v>0.44</v>
      </c>
      <c r="CX185">
        <f t="shared" si="156"/>
        <v>0</v>
      </c>
      <c r="CY185">
        <f t="shared" si="157"/>
        <v>1097.0639999999999</v>
      </c>
      <c r="CZ185">
        <f t="shared" si="158"/>
        <v>704.2879999999999</v>
      </c>
      <c r="DN185">
        <v>0</v>
      </c>
      <c r="DO185">
        <v>0</v>
      </c>
      <c r="DP185">
        <v>1</v>
      </c>
      <c r="DQ185">
        <v>1</v>
      </c>
      <c r="DU185">
        <v>1003</v>
      </c>
      <c r="DV185" t="s">
        <v>291</v>
      </c>
      <c r="DW185" t="s">
        <v>291</v>
      </c>
      <c r="DX185">
        <v>100</v>
      </c>
      <c r="EE185">
        <v>39125249</v>
      </c>
      <c r="EF185">
        <v>3</v>
      </c>
      <c r="EG185" t="s">
        <v>155</v>
      </c>
      <c r="EH185">
        <v>0</v>
      </c>
      <c r="EJ185">
        <v>2</v>
      </c>
      <c r="EK185">
        <v>108001</v>
      </c>
      <c r="EL185" t="s">
        <v>156</v>
      </c>
      <c r="EM185" t="s">
        <v>157</v>
      </c>
      <c r="EQ185">
        <v>0</v>
      </c>
      <c r="ER185">
        <v>1115.5</v>
      </c>
      <c r="ES185">
        <v>895.01</v>
      </c>
      <c r="ET185">
        <v>64.45</v>
      </c>
      <c r="EU185">
        <v>5.52</v>
      </c>
      <c r="EV185">
        <v>156.04</v>
      </c>
      <c r="EW185">
        <v>16.6</v>
      </c>
      <c r="EX185">
        <v>0.44</v>
      </c>
      <c r="EY185">
        <v>0</v>
      </c>
      <c r="FQ185">
        <v>0</v>
      </c>
      <c r="FR185">
        <f t="shared" si="159"/>
        <v>0</v>
      </c>
      <c r="FS185">
        <v>0</v>
      </c>
      <c r="FV185" t="s">
        <v>31</v>
      </c>
      <c r="FW185" t="s">
        <v>32</v>
      </c>
      <c r="FX185">
        <v>95</v>
      </c>
      <c r="FY185">
        <v>65</v>
      </c>
      <c r="GD185">
        <v>0</v>
      </c>
      <c r="GF185">
        <v>-211123153</v>
      </c>
      <c r="GG185">
        <v>2</v>
      </c>
      <c r="GH185">
        <v>1</v>
      </c>
      <c r="GI185">
        <v>4</v>
      </c>
      <c r="GJ185">
        <v>0</v>
      </c>
      <c r="GK185">
        <f>ROUND(R185*(R12)/100,1)</f>
        <v>0</v>
      </c>
      <c r="GL185">
        <f t="shared" si="160"/>
        <v>0</v>
      </c>
      <c r="GM185">
        <f t="shared" si="161"/>
        <v>5429.6</v>
      </c>
      <c r="GN185">
        <f t="shared" si="162"/>
        <v>0</v>
      </c>
      <c r="GO185">
        <f t="shared" si="163"/>
        <v>5429.6</v>
      </c>
      <c r="GP185">
        <f t="shared" si="164"/>
        <v>0</v>
      </c>
      <c r="GR185">
        <v>0</v>
      </c>
      <c r="GS185">
        <v>3</v>
      </c>
      <c r="GT185">
        <v>0</v>
      </c>
      <c r="GV185">
        <f t="shared" si="165"/>
        <v>0</v>
      </c>
      <c r="GW185">
        <v>19.96</v>
      </c>
      <c r="GX185">
        <f t="shared" si="166"/>
        <v>0</v>
      </c>
      <c r="HA185">
        <v>0</v>
      </c>
      <c r="HB185">
        <v>0</v>
      </c>
      <c r="IK185">
        <v>0</v>
      </c>
    </row>
    <row r="186" spans="1:245" ht="12.75">
      <c r="A186">
        <v>18</v>
      </c>
      <c r="B186">
        <v>1</v>
      </c>
      <c r="C186">
        <v>193</v>
      </c>
      <c r="E186" t="s">
        <v>310</v>
      </c>
      <c r="F186" t="s">
        <v>311</v>
      </c>
      <c r="G186" t="s">
        <v>312</v>
      </c>
      <c r="H186" t="s">
        <v>246</v>
      </c>
      <c r="I186">
        <f>I185*J186</f>
        <v>0.0546</v>
      </c>
      <c r="J186">
        <v>0.13</v>
      </c>
      <c r="O186">
        <f t="shared" si="135"/>
        <v>1903.4</v>
      </c>
      <c r="P186">
        <f t="shared" si="136"/>
        <v>1903.4</v>
      </c>
      <c r="Q186">
        <f t="shared" si="137"/>
        <v>0</v>
      </c>
      <c r="R186">
        <f t="shared" si="138"/>
        <v>0</v>
      </c>
      <c r="S186">
        <f t="shared" si="139"/>
        <v>0</v>
      </c>
      <c r="T186">
        <f t="shared" si="140"/>
        <v>0</v>
      </c>
      <c r="U186">
        <f t="shared" si="141"/>
        <v>0</v>
      </c>
      <c r="V186">
        <f t="shared" si="142"/>
        <v>0</v>
      </c>
      <c r="W186">
        <f t="shared" si="143"/>
        <v>0</v>
      </c>
      <c r="X186">
        <f t="shared" si="144"/>
        <v>0</v>
      </c>
      <c r="Y186">
        <f t="shared" si="144"/>
        <v>0</v>
      </c>
      <c r="AA186">
        <v>42253831</v>
      </c>
      <c r="AB186">
        <f t="shared" si="145"/>
        <v>6159.22</v>
      </c>
      <c r="AC186">
        <f>ROUND((ES186),6)</f>
        <v>6159.22</v>
      </c>
      <c r="AD186">
        <f t="shared" si="146"/>
        <v>0</v>
      </c>
      <c r="AE186">
        <f t="shared" si="147"/>
        <v>0</v>
      </c>
      <c r="AF186">
        <f t="shared" si="147"/>
        <v>0</v>
      </c>
      <c r="AG186">
        <f t="shared" si="148"/>
        <v>0</v>
      </c>
      <c r="AH186">
        <f t="shared" si="149"/>
        <v>0</v>
      </c>
      <c r="AI186">
        <f t="shared" si="149"/>
        <v>0</v>
      </c>
      <c r="AJ186">
        <f t="shared" si="150"/>
        <v>0</v>
      </c>
      <c r="AK186">
        <v>6159.22</v>
      </c>
      <c r="AL186">
        <v>6159.22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81</v>
      </c>
      <c r="AU186">
        <v>52</v>
      </c>
      <c r="AV186">
        <v>1</v>
      </c>
      <c r="AW186">
        <v>1</v>
      </c>
      <c r="AZ186">
        <v>1</v>
      </c>
      <c r="BA186">
        <v>1</v>
      </c>
      <c r="BB186">
        <v>1</v>
      </c>
      <c r="BC186">
        <v>5.66</v>
      </c>
      <c r="BH186">
        <v>3</v>
      </c>
      <c r="BI186">
        <v>2</v>
      </c>
      <c r="BJ186" t="s">
        <v>313</v>
      </c>
      <c r="BM186">
        <v>108001</v>
      </c>
      <c r="BN186">
        <v>0</v>
      </c>
      <c r="BO186" t="s">
        <v>27</v>
      </c>
      <c r="BP186">
        <v>1</v>
      </c>
      <c r="BQ186">
        <v>3</v>
      </c>
      <c r="BR186">
        <v>0</v>
      </c>
      <c r="BS186">
        <v>1</v>
      </c>
      <c r="BT186">
        <v>1</v>
      </c>
      <c r="BU186">
        <v>1</v>
      </c>
      <c r="BV186">
        <v>1</v>
      </c>
      <c r="BW186">
        <v>1</v>
      </c>
      <c r="BX186">
        <v>1</v>
      </c>
      <c r="BZ186">
        <v>95</v>
      </c>
      <c r="CA186">
        <v>65</v>
      </c>
      <c r="CF186">
        <v>0</v>
      </c>
      <c r="CG186">
        <v>0</v>
      </c>
      <c r="CM186">
        <v>0</v>
      </c>
      <c r="CO186">
        <v>0</v>
      </c>
      <c r="CP186">
        <f t="shared" si="151"/>
        <v>1903.4</v>
      </c>
      <c r="CQ186">
        <f t="shared" si="152"/>
        <v>34861.1852</v>
      </c>
      <c r="CR186">
        <f t="shared" si="153"/>
        <v>0</v>
      </c>
      <c r="CS186">
        <f t="shared" si="154"/>
        <v>0</v>
      </c>
      <c r="CT186">
        <f t="shared" si="155"/>
        <v>0</v>
      </c>
      <c r="CU186">
        <f t="shared" si="156"/>
        <v>0</v>
      </c>
      <c r="CV186">
        <f t="shared" si="156"/>
        <v>0</v>
      </c>
      <c r="CW186">
        <f t="shared" si="156"/>
        <v>0</v>
      </c>
      <c r="CX186">
        <f t="shared" si="156"/>
        <v>0</v>
      </c>
      <c r="CY186">
        <f t="shared" si="157"/>
        <v>0</v>
      </c>
      <c r="CZ186">
        <f t="shared" si="158"/>
        <v>0</v>
      </c>
      <c r="DN186">
        <v>0</v>
      </c>
      <c r="DO186">
        <v>0</v>
      </c>
      <c r="DP186">
        <v>1</v>
      </c>
      <c r="DQ186">
        <v>1</v>
      </c>
      <c r="DU186">
        <v>1009</v>
      </c>
      <c r="DV186" t="s">
        <v>246</v>
      </c>
      <c r="DW186" t="s">
        <v>246</v>
      </c>
      <c r="DX186">
        <v>1000</v>
      </c>
      <c r="EE186">
        <v>39125249</v>
      </c>
      <c r="EF186">
        <v>3</v>
      </c>
      <c r="EG186" t="s">
        <v>155</v>
      </c>
      <c r="EH186">
        <v>0</v>
      </c>
      <c r="EJ186">
        <v>2</v>
      </c>
      <c r="EK186">
        <v>108001</v>
      </c>
      <c r="EL186" t="s">
        <v>156</v>
      </c>
      <c r="EM186" t="s">
        <v>157</v>
      </c>
      <c r="EQ186">
        <v>0</v>
      </c>
      <c r="ER186">
        <v>6159.22</v>
      </c>
      <c r="ES186">
        <v>6159.22</v>
      </c>
      <c r="ET186">
        <v>0</v>
      </c>
      <c r="EU186">
        <v>0</v>
      </c>
      <c r="EV186">
        <v>0</v>
      </c>
      <c r="EW186">
        <v>0</v>
      </c>
      <c r="EX186">
        <v>0</v>
      </c>
      <c r="FQ186">
        <v>0</v>
      </c>
      <c r="FR186">
        <f t="shared" si="159"/>
        <v>0</v>
      </c>
      <c r="FS186">
        <v>0</v>
      </c>
      <c r="FV186" t="s">
        <v>31</v>
      </c>
      <c r="FW186" t="s">
        <v>32</v>
      </c>
      <c r="FX186">
        <v>95</v>
      </c>
      <c r="FY186">
        <v>65</v>
      </c>
      <c r="GD186">
        <v>0</v>
      </c>
      <c r="GF186">
        <v>879274374</v>
      </c>
      <c r="GG186">
        <v>2</v>
      </c>
      <c r="GH186">
        <v>1</v>
      </c>
      <c r="GI186">
        <v>4</v>
      </c>
      <c r="GJ186">
        <v>0</v>
      </c>
      <c r="GK186">
        <f>ROUND(R186*(R12)/100,1)</f>
        <v>0</v>
      </c>
      <c r="GL186">
        <f t="shared" si="160"/>
        <v>0</v>
      </c>
      <c r="GM186">
        <f t="shared" si="161"/>
        <v>1903.4</v>
      </c>
      <c r="GN186">
        <f t="shared" si="162"/>
        <v>0</v>
      </c>
      <c r="GO186">
        <f t="shared" si="163"/>
        <v>1903.4</v>
      </c>
      <c r="GP186">
        <f t="shared" si="164"/>
        <v>0</v>
      </c>
      <c r="GR186">
        <v>0</v>
      </c>
      <c r="GS186">
        <v>3</v>
      </c>
      <c r="GT186">
        <v>0</v>
      </c>
      <c r="GV186">
        <f t="shared" si="165"/>
        <v>0</v>
      </c>
      <c r="GW186">
        <v>1</v>
      </c>
      <c r="GX186">
        <f t="shared" si="166"/>
        <v>0</v>
      </c>
      <c r="HA186">
        <v>0</v>
      </c>
      <c r="HB186">
        <v>0</v>
      </c>
      <c r="IK186">
        <v>0</v>
      </c>
    </row>
    <row r="188" spans="1:206" ht="12.75">
      <c r="A188" s="2">
        <v>51</v>
      </c>
      <c r="B188" s="2">
        <f>B144</f>
        <v>1</v>
      </c>
      <c r="C188" s="2">
        <f>A144</f>
        <v>4</v>
      </c>
      <c r="D188" s="2">
        <f>ROW(A144)</f>
        <v>144</v>
      </c>
      <c r="E188" s="2"/>
      <c r="F188" s="2" t="str">
        <f>IF(F144&lt;&gt;"",F144,"")</f>
        <v>Новый раздел</v>
      </c>
      <c r="G188" s="2" t="str">
        <f>IF(G144&lt;&gt;"",G144,"")</f>
        <v>Фундаменты под БКТП</v>
      </c>
      <c r="H188" s="2">
        <v>0</v>
      </c>
      <c r="I188" s="2"/>
      <c r="J188" s="2"/>
      <c r="K188" s="2"/>
      <c r="L188" s="2"/>
      <c r="M188" s="2"/>
      <c r="N188" s="2"/>
      <c r="O188" s="2">
        <f aca="true" t="shared" si="167" ref="O188:T188">ROUND(AB188,1)</f>
        <v>248238.5</v>
      </c>
      <c r="P188" s="2">
        <f t="shared" si="167"/>
        <v>177334.9</v>
      </c>
      <c r="Q188" s="2">
        <f t="shared" si="167"/>
        <v>20426.2</v>
      </c>
      <c r="R188" s="2">
        <f t="shared" si="167"/>
        <v>6730</v>
      </c>
      <c r="S188" s="2">
        <f t="shared" si="167"/>
        <v>50477.4</v>
      </c>
      <c r="T188" s="2">
        <f t="shared" si="167"/>
        <v>0</v>
      </c>
      <c r="U188" s="2">
        <f>AH188</f>
        <v>275.35627</v>
      </c>
      <c r="V188" s="2">
        <f>AI188</f>
        <v>26.606679999999997</v>
      </c>
      <c r="W188" s="2">
        <f>ROUND(AJ188,1)</f>
        <v>0</v>
      </c>
      <c r="X188" s="2">
        <f>ROUND(AK188,1)</f>
        <v>60549.3</v>
      </c>
      <c r="Y188" s="2">
        <f>ROUND(AL188,1)</f>
        <v>35238.1</v>
      </c>
      <c r="Z188" s="2"/>
      <c r="AA188" s="2"/>
      <c r="AB188" s="2">
        <f>ROUND(SUMIF(AA148:AA186,"=42253831",O148:O186),1)</f>
        <v>248238.5</v>
      </c>
      <c r="AC188" s="2">
        <f>ROUND(SUMIF(AA148:AA186,"=42253831",P148:P186),1)</f>
        <v>177334.9</v>
      </c>
      <c r="AD188" s="2">
        <f>ROUND(SUMIF(AA148:AA186,"=42253831",Q148:Q186),1)</f>
        <v>20426.2</v>
      </c>
      <c r="AE188" s="2">
        <f>ROUND(SUMIF(AA148:AA186,"=42253831",R148:R186),1)</f>
        <v>6730</v>
      </c>
      <c r="AF188" s="2">
        <f>ROUND(SUMIF(AA148:AA186,"=42253831",S148:S186),1)</f>
        <v>50477.4</v>
      </c>
      <c r="AG188" s="2">
        <f>ROUND(SUMIF(AA148:AA186,"=42253831",T148:T186),1)</f>
        <v>0</v>
      </c>
      <c r="AH188" s="2">
        <f>SUMIF(AA148:AA186,"=42253831",U148:U186)</f>
        <v>275.35627</v>
      </c>
      <c r="AI188" s="2">
        <f>SUMIF(AA148:AA186,"=42253831",V148:V186)</f>
        <v>26.606679999999997</v>
      </c>
      <c r="AJ188" s="2">
        <f>ROUND(SUMIF(AA148:AA186,"=42253831",W148:W186),1)</f>
        <v>0</v>
      </c>
      <c r="AK188" s="2">
        <f>ROUND(SUMIF(AA148:AA186,"=42253831",X148:X186),1)</f>
        <v>60549.3</v>
      </c>
      <c r="AL188" s="2">
        <f>ROUND(SUMIF(AA148:AA186,"=42253831",Y148:Y186),1)</f>
        <v>35238.1</v>
      </c>
      <c r="AM188" s="2"/>
      <c r="AN188" s="2"/>
      <c r="AO188" s="2">
        <f aca="true" t="shared" si="168" ref="AO188:BC188">ROUND(BX188,1)</f>
        <v>0</v>
      </c>
      <c r="AP188" s="2">
        <f t="shared" si="168"/>
        <v>0</v>
      </c>
      <c r="AQ188" s="2">
        <f t="shared" si="168"/>
        <v>0</v>
      </c>
      <c r="AR188" s="2">
        <f t="shared" si="168"/>
        <v>344025.9</v>
      </c>
      <c r="AS188" s="2">
        <f t="shared" si="168"/>
        <v>326512</v>
      </c>
      <c r="AT188" s="2">
        <f t="shared" si="168"/>
        <v>17513.9</v>
      </c>
      <c r="AU188" s="2">
        <f t="shared" si="168"/>
        <v>0</v>
      </c>
      <c r="AV188" s="2">
        <f t="shared" si="168"/>
        <v>177334.9</v>
      </c>
      <c r="AW188" s="2">
        <f t="shared" si="168"/>
        <v>177334.9</v>
      </c>
      <c r="AX188" s="2">
        <f t="shared" si="168"/>
        <v>0</v>
      </c>
      <c r="AY188" s="2">
        <f t="shared" si="168"/>
        <v>177334.9</v>
      </c>
      <c r="AZ188" s="2">
        <f t="shared" si="168"/>
        <v>0</v>
      </c>
      <c r="BA188" s="2">
        <f t="shared" si="168"/>
        <v>0</v>
      </c>
      <c r="BB188" s="2">
        <f t="shared" si="168"/>
        <v>0</v>
      </c>
      <c r="BC188" s="2">
        <f t="shared" si="168"/>
        <v>0</v>
      </c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>
        <f>ROUND(SUMIF(AA148:AA186,"=42253831",FQ148:FQ186),1)</f>
        <v>0</v>
      </c>
      <c r="BY188" s="2">
        <f>ROUND(SUMIF(AA148:AA186,"=42253831",FR148:FR186),1)</f>
        <v>0</v>
      </c>
      <c r="BZ188" s="2">
        <f>ROUND(SUMIF(AA148:AA186,"=42253831",GL148:GL186),1)</f>
        <v>0</v>
      </c>
      <c r="CA188" s="2">
        <f>ROUND(SUMIF(AA148:AA186,"=42253831",GM148:GM186),1)</f>
        <v>344025.9</v>
      </c>
      <c r="CB188" s="2">
        <f>ROUND(SUMIF(AA148:AA186,"=42253831",GN148:GN186),1)</f>
        <v>326512</v>
      </c>
      <c r="CC188" s="2">
        <f>ROUND(SUMIF(AA148:AA186,"=42253831",GO148:GO186),1)</f>
        <v>17513.9</v>
      </c>
      <c r="CD188" s="2">
        <f>ROUND(SUMIF(AA148:AA186,"=42253831",GP148:GP186),1)</f>
        <v>0</v>
      </c>
      <c r="CE188" s="2">
        <f>AC188-BX188</f>
        <v>177334.9</v>
      </c>
      <c r="CF188" s="2">
        <f>AC188-BY188</f>
        <v>177334.9</v>
      </c>
      <c r="CG188" s="2">
        <f>BX188-BZ188</f>
        <v>0</v>
      </c>
      <c r="CH188" s="2">
        <f>AC188-BX188-BY188+BZ188</f>
        <v>177334.9</v>
      </c>
      <c r="CI188" s="2">
        <f>BY188-BZ188</f>
        <v>0</v>
      </c>
      <c r="CJ188" s="2">
        <f>ROUND(SUMIF(AA148:AA186,"=42253831",GX148:GX186),1)</f>
        <v>0</v>
      </c>
      <c r="CK188" s="2">
        <f>ROUND(SUMIF(AA148:AA186,"=42253831",GY148:GY186),1)</f>
        <v>0</v>
      </c>
      <c r="CL188" s="2">
        <f>ROUND(SUMIF(AA148:AA186,"=42253831",GZ148:GZ186),1)</f>
        <v>0</v>
      </c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>
        <v>0</v>
      </c>
    </row>
    <row r="190" spans="1:23" ht="12.75">
      <c r="A190" s="4">
        <v>50</v>
      </c>
      <c r="B190" s="4">
        <v>1</v>
      </c>
      <c r="C190" s="4">
        <v>0</v>
      </c>
      <c r="D190" s="4">
        <v>1</v>
      </c>
      <c r="E190" s="4">
        <v>201</v>
      </c>
      <c r="F190" s="4">
        <f>ROUND(Source!O188,O190)</f>
        <v>248238.5</v>
      </c>
      <c r="G190" s="4" t="s">
        <v>50</v>
      </c>
      <c r="H190" s="4" t="s">
        <v>51</v>
      </c>
      <c r="I190" s="4"/>
      <c r="J190" s="4"/>
      <c r="K190" s="4">
        <v>201</v>
      </c>
      <c r="L190" s="4">
        <v>1</v>
      </c>
      <c r="M190" s="4">
        <v>0</v>
      </c>
      <c r="N190" s="4" t="s">
        <v>3</v>
      </c>
      <c r="O190" s="4">
        <v>1</v>
      </c>
      <c r="P190" s="4"/>
      <c r="Q190" s="4"/>
      <c r="R190" s="4"/>
      <c r="S190" s="4"/>
      <c r="T190" s="4"/>
      <c r="U190" s="4"/>
      <c r="V190" s="4"/>
      <c r="W190" s="4"/>
    </row>
    <row r="191" spans="1:23" ht="12.75">
      <c r="A191" s="4">
        <v>50</v>
      </c>
      <c r="B191" s="4">
        <v>1</v>
      </c>
      <c r="C191" s="4">
        <v>0</v>
      </c>
      <c r="D191" s="4">
        <v>1</v>
      </c>
      <c r="E191" s="4">
        <v>202</v>
      </c>
      <c r="F191" s="4">
        <f>ROUND(Source!P188,O191)</f>
        <v>177334.9</v>
      </c>
      <c r="G191" s="4" t="s">
        <v>52</v>
      </c>
      <c r="H191" s="4" t="s">
        <v>53</v>
      </c>
      <c r="I191" s="4"/>
      <c r="J191" s="4"/>
      <c r="K191" s="4">
        <v>202</v>
      </c>
      <c r="L191" s="4">
        <v>2</v>
      </c>
      <c r="M191" s="4">
        <v>0</v>
      </c>
      <c r="N191" s="4" t="s">
        <v>3</v>
      </c>
      <c r="O191" s="4">
        <v>1</v>
      </c>
      <c r="P191" s="4"/>
      <c r="Q191" s="4"/>
      <c r="R191" s="4"/>
      <c r="S191" s="4"/>
      <c r="T191" s="4"/>
      <c r="U191" s="4"/>
      <c r="V191" s="4"/>
      <c r="W191" s="4"/>
    </row>
    <row r="192" spans="1:23" ht="12.75">
      <c r="A192" s="4">
        <v>50</v>
      </c>
      <c r="B192" s="4">
        <v>0</v>
      </c>
      <c r="C192" s="4">
        <v>0</v>
      </c>
      <c r="D192" s="4">
        <v>1</v>
      </c>
      <c r="E192" s="4">
        <v>222</v>
      </c>
      <c r="F192" s="4">
        <f>ROUND(Source!AO188,O192)</f>
        <v>0</v>
      </c>
      <c r="G192" s="4" t="s">
        <v>54</v>
      </c>
      <c r="H192" s="4" t="s">
        <v>55</v>
      </c>
      <c r="I192" s="4"/>
      <c r="J192" s="4"/>
      <c r="K192" s="4">
        <v>222</v>
      </c>
      <c r="L192" s="4">
        <v>3</v>
      </c>
      <c r="M192" s="4">
        <v>3</v>
      </c>
      <c r="N192" s="4" t="s">
        <v>3</v>
      </c>
      <c r="O192" s="4">
        <v>1</v>
      </c>
      <c r="P192" s="4"/>
      <c r="Q192" s="4"/>
      <c r="R192" s="4"/>
      <c r="S192" s="4"/>
      <c r="T192" s="4"/>
      <c r="U192" s="4"/>
      <c r="V192" s="4"/>
      <c r="W192" s="4"/>
    </row>
    <row r="193" spans="1:23" ht="12.75">
      <c r="A193" s="4">
        <v>50</v>
      </c>
      <c r="B193" s="4">
        <v>0</v>
      </c>
      <c r="C193" s="4">
        <v>0</v>
      </c>
      <c r="D193" s="4">
        <v>1</v>
      </c>
      <c r="E193" s="4">
        <v>225</v>
      </c>
      <c r="F193" s="4">
        <f>ROUND(Source!AV188,O193)</f>
        <v>177334.9</v>
      </c>
      <c r="G193" s="4" t="s">
        <v>56</v>
      </c>
      <c r="H193" s="4" t="s">
        <v>57</v>
      </c>
      <c r="I193" s="4"/>
      <c r="J193" s="4"/>
      <c r="K193" s="4">
        <v>225</v>
      </c>
      <c r="L193" s="4">
        <v>4</v>
      </c>
      <c r="M193" s="4">
        <v>3</v>
      </c>
      <c r="N193" s="4" t="s">
        <v>3</v>
      </c>
      <c r="O193" s="4">
        <v>1</v>
      </c>
      <c r="P193" s="4"/>
      <c r="Q193" s="4"/>
      <c r="R193" s="4"/>
      <c r="S193" s="4"/>
      <c r="T193" s="4"/>
      <c r="U193" s="4"/>
      <c r="V193" s="4"/>
      <c r="W193" s="4"/>
    </row>
    <row r="194" spans="1:23" ht="12.75">
      <c r="A194" s="4">
        <v>50</v>
      </c>
      <c r="B194" s="4">
        <v>1</v>
      </c>
      <c r="C194" s="4">
        <v>0</v>
      </c>
      <c r="D194" s="4">
        <v>1</v>
      </c>
      <c r="E194" s="4">
        <v>226</v>
      </c>
      <c r="F194" s="4">
        <f>ROUND(Source!AW188,O194)</f>
        <v>177334.9</v>
      </c>
      <c r="G194" s="4" t="s">
        <v>58</v>
      </c>
      <c r="H194" s="4" t="s">
        <v>59</v>
      </c>
      <c r="I194" s="4"/>
      <c r="J194" s="4"/>
      <c r="K194" s="4">
        <v>226</v>
      </c>
      <c r="L194" s="4">
        <v>5</v>
      </c>
      <c r="M194" s="4">
        <v>0</v>
      </c>
      <c r="N194" s="4" t="s">
        <v>3</v>
      </c>
      <c r="O194" s="4">
        <v>1</v>
      </c>
      <c r="P194" s="4"/>
      <c r="Q194" s="4"/>
      <c r="R194" s="4"/>
      <c r="S194" s="4"/>
      <c r="T194" s="4"/>
      <c r="U194" s="4"/>
      <c r="V194" s="4"/>
      <c r="W194" s="4"/>
    </row>
    <row r="195" spans="1:23" ht="12.75">
      <c r="A195" s="4">
        <v>50</v>
      </c>
      <c r="B195" s="4">
        <v>0</v>
      </c>
      <c r="C195" s="4">
        <v>0</v>
      </c>
      <c r="D195" s="4">
        <v>1</v>
      </c>
      <c r="E195" s="4">
        <v>227</v>
      </c>
      <c r="F195" s="4">
        <f>ROUND(Source!AX188,O195)</f>
        <v>0</v>
      </c>
      <c r="G195" s="4" t="s">
        <v>60</v>
      </c>
      <c r="H195" s="4" t="s">
        <v>61</v>
      </c>
      <c r="I195" s="4"/>
      <c r="J195" s="4"/>
      <c r="K195" s="4">
        <v>227</v>
      </c>
      <c r="L195" s="4">
        <v>6</v>
      </c>
      <c r="M195" s="4">
        <v>3</v>
      </c>
      <c r="N195" s="4" t="s">
        <v>3</v>
      </c>
      <c r="O195" s="4">
        <v>1</v>
      </c>
      <c r="P195" s="4"/>
      <c r="Q195" s="4"/>
      <c r="R195" s="4"/>
      <c r="S195" s="4"/>
      <c r="T195" s="4"/>
      <c r="U195" s="4"/>
      <c r="V195" s="4"/>
      <c r="W195" s="4"/>
    </row>
    <row r="196" spans="1:23" ht="12.75">
      <c r="A196" s="4">
        <v>50</v>
      </c>
      <c r="B196" s="4">
        <v>0</v>
      </c>
      <c r="C196" s="4">
        <v>0</v>
      </c>
      <c r="D196" s="4">
        <v>1</v>
      </c>
      <c r="E196" s="4">
        <v>228</v>
      </c>
      <c r="F196" s="4">
        <f>ROUND(Source!AY188,O196)</f>
        <v>177334.9</v>
      </c>
      <c r="G196" s="4" t="s">
        <v>62</v>
      </c>
      <c r="H196" s="4" t="s">
        <v>63</v>
      </c>
      <c r="I196" s="4"/>
      <c r="J196" s="4"/>
      <c r="K196" s="4">
        <v>228</v>
      </c>
      <c r="L196" s="4">
        <v>7</v>
      </c>
      <c r="M196" s="4">
        <v>3</v>
      </c>
      <c r="N196" s="4" t="s">
        <v>3</v>
      </c>
      <c r="O196" s="4">
        <v>1</v>
      </c>
      <c r="P196" s="4"/>
      <c r="Q196" s="4"/>
      <c r="R196" s="4"/>
      <c r="S196" s="4"/>
      <c r="T196" s="4"/>
      <c r="U196" s="4"/>
      <c r="V196" s="4"/>
      <c r="W196" s="4"/>
    </row>
    <row r="197" spans="1:23" ht="12.75">
      <c r="A197" s="4">
        <v>50</v>
      </c>
      <c r="B197" s="4">
        <v>0</v>
      </c>
      <c r="C197" s="4">
        <v>0</v>
      </c>
      <c r="D197" s="4">
        <v>1</v>
      </c>
      <c r="E197" s="4">
        <v>216</v>
      </c>
      <c r="F197" s="4">
        <f>ROUND(Source!AP188,O197)</f>
        <v>0</v>
      </c>
      <c r="G197" s="4" t="s">
        <v>64</v>
      </c>
      <c r="H197" s="4" t="s">
        <v>65</v>
      </c>
      <c r="I197" s="4"/>
      <c r="J197" s="4"/>
      <c r="K197" s="4">
        <v>216</v>
      </c>
      <c r="L197" s="4">
        <v>8</v>
      </c>
      <c r="M197" s="4">
        <v>3</v>
      </c>
      <c r="N197" s="4" t="s">
        <v>3</v>
      </c>
      <c r="O197" s="4">
        <v>1</v>
      </c>
      <c r="P197" s="4"/>
      <c r="Q197" s="4"/>
      <c r="R197" s="4"/>
      <c r="S197" s="4"/>
      <c r="T197" s="4"/>
      <c r="U197" s="4"/>
      <c r="V197" s="4"/>
      <c r="W197" s="4"/>
    </row>
    <row r="198" spans="1:23" ht="12.75">
      <c r="A198" s="4">
        <v>50</v>
      </c>
      <c r="B198" s="4">
        <v>0</v>
      </c>
      <c r="C198" s="4">
        <v>0</v>
      </c>
      <c r="D198" s="4">
        <v>1</v>
      </c>
      <c r="E198" s="4">
        <v>223</v>
      </c>
      <c r="F198" s="4">
        <f>ROUND(Source!AQ188,O198)</f>
        <v>0</v>
      </c>
      <c r="G198" s="4" t="s">
        <v>66</v>
      </c>
      <c r="H198" s="4" t="s">
        <v>67</v>
      </c>
      <c r="I198" s="4"/>
      <c r="J198" s="4"/>
      <c r="K198" s="4">
        <v>223</v>
      </c>
      <c r="L198" s="4">
        <v>9</v>
      </c>
      <c r="M198" s="4">
        <v>3</v>
      </c>
      <c r="N198" s="4" t="s">
        <v>3</v>
      </c>
      <c r="O198" s="4">
        <v>1</v>
      </c>
      <c r="P198" s="4"/>
      <c r="Q198" s="4"/>
      <c r="R198" s="4"/>
      <c r="S198" s="4"/>
      <c r="T198" s="4"/>
      <c r="U198" s="4"/>
      <c r="V198" s="4"/>
      <c r="W198" s="4"/>
    </row>
    <row r="199" spans="1:23" ht="12.75">
      <c r="A199" s="4">
        <v>50</v>
      </c>
      <c r="B199" s="4">
        <v>0</v>
      </c>
      <c r="C199" s="4">
        <v>0</v>
      </c>
      <c r="D199" s="4">
        <v>1</v>
      </c>
      <c r="E199" s="4">
        <v>229</v>
      </c>
      <c r="F199" s="4">
        <f>ROUND(Source!AZ188,O199)</f>
        <v>0</v>
      </c>
      <c r="G199" s="4" t="s">
        <v>68</v>
      </c>
      <c r="H199" s="4" t="s">
        <v>69</v>
      </c>
      <c r="I199" s="4"/>
      <c r="J199" s="4"/>
      <c r="K199" s="4">
        <v>229</v>
      </c>
      <c r="L199" s="4">
        <v>10</v>
      </c>
      <c r="M199" s="4">
        <v>3</v>
      </c>
      <c r="N199" s="4" t="s">
        <v>3</v>
      </c>
      <c r="O199" s="4">
        <v>1</v>
      </c>
      <c r="P199" s="4"/>
      <c r="Q199" s="4"/>
      <c r="R199" s="4"/>
      <c r="S199" s="4"/>
      <c r="T199" s="4"/>
      <c r="U199" s="4"/>
      <c r="V199" s="4"/>
      <c r="W199" s="4"/>
    </row>
    <row r="200" spans="1:23" ht="12.75">
      <c r="A200" s="4">
        <v>50</v>
      </c>
      <c r="B200" s="4">
        <v>1</v>
      </c>
      <c r="C200" s="4">
        <v>0</v>
      </c>
      <c r="D200" s="4">
        <v>1</v>
      </c>
      <c r="E200" s="4">
        <v>203</v>
      </c>
      <c r="F200" s="4">
        <f>ROUND(Source!Q188,O200)</f>
        <v>20426.2</v>
      </c>
      <c r="G200" s="4" t="s">
        <v>70</v>
      </c>
      <c r="H200" s="4" t="s">
        <v>71</v>
      </c>
      <c r="I200" s="4"/>
      <c r="J200" s="4"/>
      <c r="K200" s="4">
        <v>203</v>
      </c>
      <c r="L200" s="4">
        <v>11</v>
      </c>
      <c r="M200" s="4">
        <v>0</v>
      </c>
      <c r="N200" s="4" t="s">
        <v>3</v>
      </c>
      <c r="O200" s="4">
        <v>1</v>
      </c>
      <c r="P200" s="4"/>
      <c r="Q200" s="4"/>
      <c r="R200" s="4"/>
      <c r="S200" s="4"/>
      <c r="T200" s="4"/>
      <c r="U200" s="4"/>
      <c r="V200" s="4"/>
      <c r="W200" s="4"/>
    </row>
    <row r="201" spans="1:23" ht="12.75">
      <c r="A201" s="4">
        <v>50</v>
      </c>
      <c r="B201" s="4">
        <v>0</v>
      </c>
      <c r="C201" s="4">
        <v>0</v>
      </c>
      <c r="D201" s="4">
        <v>1</v>
      </c>
      <c r="E201" s="4">
        <v>231</v>
      </c>
      <c r="F201" s="4">
        <f>ROUND(Source!BB188,O201)</f>
        <v>0</v>
      </c>
      <c r="G201" s="4" t="s">
        <v>72</v>
      </c>
      <c r="H201" s="4" t="s">
        <v>73</v>
      </c>
      <c r="I201" s="4"/>
      <c r="J201" s="4"/>
      <c r="K201" s="4">
        <v>231</v>
      </c>
      <c r="L201" s="4">
        <v>12</v>
      </c>
      <c r="M201" s="4">
        <v>3</v>
      </c>
      <c r="N201" s="4" t="s">
        <v>3</v>
      </c>
      <c r="O201" s="4">
        <v>1</v>
      </c>
      <c r="P201" s="4"/>
      <c r="Q201" s="4"/>
      <c r="R201" s="4"/>
      <c r="S201" s="4"/>
      <c r="T201" s="4"/>
      <c r="U201" s="4"/>
      <c r="V201" s="4"/>
      <c r="W201" s="4"/>
    </row>
    <row r="202" spans="1:23" ht="12.75">
      <c r="A202" s="4">
        <v>50</v>
      </c>
      <c r="B202" s="4">
        <v>1</v>
      </c>
      <c r="C202" s="4">
        <v>0</v>
      </c>
      <c r="D202" s="4">
        <v>1</v>
      </c>
      <c r="E202" s="4">
        <v>204</v>
      </c>
      <c r="F202" s="4">
        <f>ROUND(Source!R188,O202)</f>
        <v>6730</v>
      </c>
      <c r="G202" s="4" t="s">
        <v>74</v>
      </c>
      <c r="H202" s="4" t="s">
        <v>75</v>
      </c>
      <c r="I202" s="4"/>
      <c r="J202" s="4"/>
      <c r="K202" s="4">
        <v>204</v>
      </c>
      <c r="L202" s="4">
        <v>13</v>
      </c>
      <c r="M202" s="4">
        <v>0</v>
      </c>
      <c r="N202" s="4" t="s">
        <v>3</v>
      </c>
      <c r="O202" s="4">
        <v>1</v>
      </c>
      <c r="P202" s="4"/>
      <c r="Q202" s="4"/>
      <c r="R202" s="4"/>
      <c r="S202" s="4"/>
      <c r="T202" s="4"/>
      <c r="U202" s="4"/>
      <c r="V202" s="4"/>
      <c r="W202" s="4"/>
    </row>
    <row r="203" spans="1:23" ht="12.75">
      <c r="A203" s="4">
        <v>50</v>
      </c>
      <c r="B203" s="4">
        <v>1</v>
      </c>
      <c r="C203" s="4">
        <v>0</v>
      </c>
      <c r="D203" s="4">
        <v>1</v>
      </c>
      <c r="E203" s="4">
        <v>205</v>
      </c>
      <c r="F203" s="4">
        <f>ROUND(Source!S188,O203)</f>
        <v>50477.4</v>
      </c>
      <c r="G203" s="4" t="s">
        <v>76</v>
      </c>
      <c r="H203" s="4" t="s">
        <v>77</v>
      </c>
      <c r="I203" s="4"/>
      <c r="J203" s="4"/>
      <c r="K203" s="4">
        <v>205</v>
      </c>
      <c r="L203" s="4">
        <v>14</v>
      </c>
      <c r="M203" s="4">
        <v>0</v>
      </c>
      <c r="N203" s="4" t="s">
        <v>3</v>
      </c>
      <c r="O203" s="4">
        <v>1</v>
      </c>
      <c r="P203" s="4"/>
      <c r="Q203" s="4"/>
      <c r="R203" s="4"/>
      <c r="S203" s="4"/>
      <c r="T203" s="4"/>
      <c r="U203" s="4"/>
      <c r="V203" s="4"/>
      <c r="W203" s="4"/>
    </row>
    <row r="204" spans="1:23" ht="12.75">
      <c r="A204" s="4">
        <v>50</v>
      </c>
      <c r="B204" s="4">
        <v>0</v>
      </c>
      <c r="C204" s="4">
        <v>0</v>
      </c>
      <c r="D204" s="4">
        <v>1</v>
      </c>
      <c r="E204" s="4">
        <v>232</v>
      </c>
      <c r="F204" s="4">
        <f>ROUND(Source!BC188,O204)</f>
        <v>0</v>
      </c>
      <c r="G204" s="4" t="s">
        <v>78</v>
      </c>
      <c r="H204" s="4" t="s">
        <v>79</v>
      </c>
      <c r="I204" s="4"/>
      <c r="J204" s="4"/>
      <c r="K204" s="4">
        <v>232</v>
      </c>
      <c r="L204" s="4">
        <v>15</v>
      </c>
      <c r="M204" s="4">
        <v>3</v>
      </c>
      <c r="N204" s="4" t="s">
        <v>3</v>
      </c>
      <c r="O204" s="4">
        <v>1</v>
      </c>
      <c r="P204" s="4"/>
      <c r="Q204" s="4"/>
      <c r="R204" s="4"/>
      <c r="S204" s="4"/>
      <c r="T204" s="4"/>
      <c r="U204" s="4"/>
      <c r="V204" s="4"/>
      <c r="W204" s="4"/>
    </row>
    <row r="205" spans="1:23" ht="12.75">
      <c r="A205" s="4">
        <v>50</v>
      </c>
      <c r="B205" s="4">
        <v>1</v>
      </c>
      <c r="C205" s="4">
        <v>0</v>
      </c>
      <c r="D205" s="4">
        <v>1</v>
      </c>
      <c r="E205" s="4">
        <v>214</v>
      </c>
      <c r="F205" s="4">
        <f>ROUND(Source!AS188,O205)</f>
        <v>326512</v>
      </c>
      <c r="G205" s="4" t="s">
        <v>80</v>
      </c>
      <c r="H205" s="4" t="s">
        <v>81</v>
      </c>
      <c r="I205" s="4"/>
      <c r="J205" s="4"/>
      <c r="K205" s="4">
        <v>214</v>
      </c>
      <c r="L205" s="4">
        <v>16</v>
      </c>
      <c r="M205" s="4">
        <v>0</v>
      </c>
      <c r="N205" s="4" t="s">
        <v>3</v>
      </c>
      <c r="O205" s="4">
        <v>1</v>
      </c>
      <c r="P205" s="4"/>
      <c r="Q205" s="4"/>
      <c r="R205" s="4"/>
      <c r="S205" s="4"/>
      <c r="T205" s="4"/>
      <c r="U205" s="4"/>
      <c r="V205" s="4"/>
      <c r="W205" s="4"/>
    </row>
    <row r="206" spans="1:23" ht="12.75">
      <c r="A206" s="4">
        <v>50</v>
      </c>
      <c r="B206" s="4">
        <v>1</v>
      </c>
      <c r="C206" s="4">
        <v>0</v>
      </c>
      <c r="D206" s="4">
        <v>1</v>
      </c>
      <c r="E206" s="4">
        <v>215</v>
      </c>
      <c r="F206" s="4">
        <f>ROUND(Source!AT188,O206)</f>
        <v>17513.9</v>
      </c>
      <c r="G206" s="4" t="s">
        <v>82</v>
      </c>
      <c r="H206" s="4" t="s">
        <v>83</v>
      </c>
      <c r="I206" s="4"/>
      <c r="J206" s="4"/>
      <c r="K206" s="4">
        <v>215</v>
      </c>
      <c r="L206" s="4">
        <v>17</v>
      </c>
      <c r="M206" s="4">
        <v>0</v>
      </c>
      <c r="N206" s="4" t="s">
        <v>3</v>
      </c>
      <c r="O206" s="4">
        <v>1</v>
      </c>
      <c r="P206" s="4"/>
      <c r="Q206" s="4"/>
      <c r="R206" s="4"/>
      <c r="S206" s="4"/>
      <c r="T206" s="4"/>
      <c r="U206" s="4"/>
      <c r="V206" s="4"/>
      <c r="W206" s="4"/>
    </row>
    <row r="207" spans="1:23" ht="12.75">
      <c r="A207" s="4">
        <v>50</v>
      </c>
      <c r="B207" s="4">
        <v>1</v>
      </c>
      <c r="C207" s="4">
        <v>0</v>
      </c>
      <c r="D207" s="4">
        <v>1</v>
      </c>
      <c r="E207" s="4">
        <v>217</v>
      </c>
      <c r="F207" s="4">
        <f>ROUND(Source!AU188,O207)</f>
        <v>0</v>
      </c>
      <c r="G207" s="4" t="s">
        <v>84</v>
      </c>
      <c r="H207" s="4" t="s">
        <v>85</v>
      </c>
      <c r="I207" s="4"/>
      <c r="J207" s="4"/>
      <c r="K207" s="4">
        <v>217</v>
      </c>
      <c r="L207" s="4">
        <v>18</v>
      </c>
      <c r="M207" s="4">
        <v>0</v>
      </c>
      <c r="N207" s="4" t="s">
        <v>3</v>
      </c>
      <c r="O207" s="4">
        <v>1</v>
      </c>
      <c r="P207" s="4"/>
      <c r="Q207" s="4"/>
      <c r="R207" s="4"/>
      <c r="S207" s="4"/>
      <c r="T207" s="4"/>
      <c r="U207" s="4"/>
      <c r="V207" s="4"/>
      <c r="W207" s="4"/>
    </row>
    <row r="208" spans="1:23" ht="12.75">
      <c r="A208" s="4">
        <v>50</v>
      </c>
      <c r="B208" s="4">
        <v>0</v>
      </c>
      <c r="C208" s="4">
        <v>0</v>
      </c>
      <c r="D208" s="4">
        <v>1</v>
      </c>
      <c r="E208" s="4">
        <v>230</v>
      </c>
      <c r="F208" s="4">
        <f>ROUND(Source!BA188,O208)</f>
        <v>0</v>
      </c>
      <c r="G208" s="4" t="s">
        <v>86</v>
      </c>
      <c r="H208" s="4" t="s">
        <v>87</v>
      </c>
      <c r="I208" s="4"/>
      <c r="J208" s="4"/>
      <c r="K208" s="4">
        <v>230</v>
      </c>
      <c r="L208" s="4">
        <v>19</v>
      </c>
      <c r="M208" s="4">
        <v>3</v>
      </c>
      <c r="N208" s="4" t="s">
        <v>3</v>
      </c>
      <c r="O208" s="4">
        <v>1</v>
      </c>
      <c r="P208" s="4"/>
      <c r="Q208" s="4"/>
      <c r="R208" s="4"/>
      <c r="S208" s="4"/>
      <c r="T208" s="4"/>
      <c r="U208" s="4"/>
      <c r="V208" s="4"/>
      <c r="W208" s="4"/>
    </row>
    <row r="209" spans="1:23" ht="12.75">
      <c r="A209" s="4">
        <v>50</v>
      </c>
      <c r="B209" s="4">
        <v>0</v>
      </c>
      <c r="C209" s="4">
        <v>0</v>
      </c>
      <c r="D209" s="4">
        <v>1</v>
      </c>
      <c r="E209" s="4">
        <v>206</v>
      </c>
      <c r="F209" s="4">
        <f>ROUND(Source!T188,O209)</f>
        <v>0</v>
      </c>
      <c r="G209" s="4" t="s">
        <v>88</v>
      </c>
      <c r="H209" s="4" t="s">
        <v>89</v>
      </c>
      <c r="I209" s="4"/>
      <c r="J209" s="4"/>
      <c r="K209" s="4">
        <v>206</v>
      </c>
      <c r="L209" s="4">
        <v>20</v>
      </c>
      <c r="M209" s="4">
        <v>3</v>
      </c>
      <c r="N209" s="4" t="s">
        <v>3</v>
      </c>
      <c r="O209" s="4">
        <v>1</v>
      </c>
      <c r="P209" s="4"/>
      <c r="Q209" s="4"/>
      <c r="R209" s="4"/>
      <c r="S209" s="4"/>
      <c r="T209" s="4"/>
      <c r="U209" s="4"/>
      <c r="V209" s="4"/>
      <c r="W209" s="4"/>
    </row>
    <row r="210" spans="1:23" ht="12.75">
      <c r="A210" s="4">
        <v>50</v>
      </c>
      <c r="B210" s="4">
        <v>1</v>
      </c>
      <c r="C210" s="4">
        <v>0</v>
      </c>
      <c r="D210" s="4">
        <v>1</v>
      </c>
      <c r="E210" s="4">
        <v>207</v>
      </c>
      <c r="F210" s="4">
        <f>Source!U188</f>
        <v>275.35627</v>
      </c>
      <c r="G210" s="4" t="s">
        <v>90</v>
      </c>
      <c r="H210" s="4" t="s">
        <v>91</v>
      </c>
      <c r="I210" s="4"/>
      <c r="J210" s="4"/>
      <c r="K210" s="4">
        <v>207</v>
      </c>
      <c r="L210" s="4">
        <v>21</v>
      </c>
      <c r="M210" s="4">
        <v>0</v>
      </c>
      <c r="N210" s="4" t="s">
        <v>3</v>
      </c>
      <c r="O210" s="4">
        <v>-1</v>
      </c>
      <c r="P210" s="4"/>
      <c r="Q210" s="4"/>
      <c r="R210" s="4"/>
      <c r="S210" s="4"/>
      <c r="T210" s="4"/>
      <c r="U210" s="4"/>
      <c r="V210" s="4"/>
      <c r="W210" s="4"/>
    </row>
    <row r="211" spans="1:23" ht="12.75">
      <c r="A211" s="4">
        <v>50</v>
      </c>
      <c r="B211" s="4">
        <v>1</v>
      </c>
      <c r="C211" s="4">
        <v>0</v>
      </c>
      <c r="D211" s="4">
        <v>1</v>
      </c>
      <c r="E211" s="4">
        <v>208</v>
      </c>
      <c r="F211" s="4">
        <f>Source!V188</f>
        <v>26.606679999999997</v>
      </c>
      <c r="G211" s="4" t="s">
        <v>92</v>
      </c>
      <c r="H211" s="4" t="s">
        <v>93</v>
      </c>
      <c r="I211" s="4"/>
      <c r="J211" s="4"/>
      <c r="K211" s="4">
        <v>208</v>
      </c>
      <c r="L211" s="4">
        <v>22</v>
      </c>
      <c r="M211" s="4">
        <v>0</v>
      </c>
      <c r="N211" s="4" t="s">
        <v>3</v>
      </c>
      <c r="O211" s="4">
        <v>-1</v>
      </c>
      <c r="P211" s="4"/>
      <c r="Q211" s="4"/>
      <c r="R211" s="4"/>
      <c r="S211" s="4"/>
      <c r="T211" s="4"/>
      <c r="U211" s="4"/>
      <c r="V211" s="4"/>
      <c r="W211" s="4"/>
    </row>
    <row r="212" spans="1:23" ht="12.75">
      <c r="A212" s="4">
        <v>50</v>
      </c>
      <c r="B212" s="4">
        <v>0</v>
      </c>
      <c r="C212" s="4">
        <v>0</v>
      </c>
      <c r="D212" s="4">
        <v>1</v>
      </c>
      <c r="E212" s="4">
        <v>209</v>
      </c>
      <c r="F212" s="4">
        <f>ROUND(Source!W188,O212)</f>
        <v>0</v>
      </c>
      <c r="G212" s="4" t="s">
        <v>94</v>
      </c>
      <c r="H212" s="4" t="s">
        <v>95</v>
      </c>
      <c r="I212" s="4"/>
      <c r="J212" s="4"/>
      <c r="K212" s="4">
        <v>209</v>
      </c>
      <c r="L212" s="4">
        <v>23</v>
      </c>
      <c r="M212" s="4">
        <v>3</v>
      </c>
      <c r="N212" s="4" t="s">
        <v>3</v>
      </c>
      <c r="O212" s="4">
        <v>1</v>
      </c>
      <c r="P212" s="4"/>
      <c r="Q212" s="4"/>
      <c r="R212" s="4"/>
      <c r="S212" s="4"/>
      <c r="T212" s="4"/>
      <c r="U212" s="4"/>
      <c r="V212" s="4"/>
      <c r="W212" s="4"/>
    </row>
    <row r="213" spans="1:23" ht="12.75">
      <c r="A213" s="4">
        <v>50</v>
      </c>
      <c r="B213" s="4">
        <v>1</v>
      </c>
      <c r="C213" s="4">
        <v>0</v>
      </c>
      <c r="D213" s="4">
        <v>1</v>
      </c>
      <c r="E213" s="4">
        <v>210</v>
      </c>
      <c r="F213" s="4">
        <f>ROUND(Source!X188,O213)</f>
        <v>60549.3</v>
      </c>
      <c r="G213" s="4" t="s">
        <v>96</v>
      </c>
      <c r="H213" s="4" t="s">
        <v>97</v>
      </c>
      <c r="I213" s="4"/>
      <c r="J213" s="4"/>
      <c r="K213" s="4">
        <v>210</v>
      </c>
      <c r="L213" s="4">
        <v>24</v>
      </c>
      <c r="M213" s="4">
        <v>0</v>
      </c>
      <c r="N213" s="4" t="s">
        <v>3</v>
      </c>
      <c r="O213" s="4">
        <v>1</v>
      </c>
      <c r="P213" s="4"/>
      <c r="Q213" s="4"/>
      <c r="R213" s="4"/>
      <c r="S213" s="4"/>
      <c r="T213" s="4"/>
      <c r="U213" s="4"/>
      <c r="V213" s="4"/>
      <c r="W213" s="4"/>
    </row>
    <row r="214" spans="1:23" ht="12.75">
      <c r="A214" s="4">
        <v>50</v>
      </c>
      <c r="B214" s="4">
        <v>1</v>
      </c>
      <c r="C214" s="4">
        <v>0</v>
      </c>
      <c r="D214" s="4">
        <v>1</v>
      </c>
      <c r="E214" s="4">
        <v>211</v>
      </c>
      <c r="F214" s="4">
        <f>ROUND(Source!Y188,O214)</f>
        <v>35238.1</v>
      </c>
      <c r="G214" s="4" t="s">
        <v>98</v>
      </c>
      <c r="H214" s="4" t="s">
        <v>99</v>
      </c>
      <c r="I214" s="4"/>
      <c r="J214" s="4"/>
      <c r="K214" s="4">
        <v>211</v>
      </c>
      <c r="L214" s="4">
        <v>25</v>
      </c>
      <c r="M214" s="4">
        <v>0</v>
      </c>
      <c r="N214" s="4" t="s">
        <v>3</v>
      </c>
      <c r="O214" s="4">
        <v>1</v>
      </c>
      <c r="P214" s="4"/>
      <c r="Q214" s="4"/>
      <c r="R214" s="4"/>
      <c r="S214" s="4"/>
      <c r="T214" s="4"/>
      <c r="U214" s="4"/>
      <c r="V214" s="4"/>
      <c r="W214" s="4"/>
    </row>
    <row r="215" spans="1:23" ht="12.75">
      <c r="A215" s="4">
        <v>50</v>
      </c>
      <c r="B215" s="4">
        <v>1</v>
      </c>
      <c r="C215" s="4">
        <v>0</v>
      </c>
      <c r="D215" s="4">
        <v>1</v>
      </c>
      <c r="E215" s="4">
        <v>224</v>
      </c>
      <c r="F215" s="4">
        <f>ROUND(Source!AR188,O215)</f>
        <v>344025.9</v>
      </c>
      <c r="G215" s="4" t="s">
        <v>100</v>
      </c>
      <c r="H215" s="4" t="s">
        <v>101</v>
      </c>
      <c r="I215" s="4"/>
      <c r="J215" s="4"/>
      <c r="K215" s="4">
        <v>224</v>
      </c>
      <c r="L215" s="4">
        <v>26</v>
      </c>
      <c r="M215" s="4">
        <v>0</v>
      </c>
      <c r="N215" s="4" t="s">
        <v>3</v>
      </c>
      <c r="O215" s="4">
        <v>1</v>
      </c>
      <c r="P215" s="4"/>
      <c r="Q215" s="4"/>
      <c r="R215" s="4"/>
      <c r="S215" s="4"/>
      <c r="T215" s="4"/>
      <c r="U215" s="4"/>
      <c r="V215" s="4"/>
      <c r="W215" s="4"/>
    </row>
    <row r="217" spans="1:88" ht="12.75">
      <c r="A217" s="1">
        <v>4</v>
      </c>
      <c r="B217" s="1">
        <v>1</v>
      </c>
      <c r="C217" s="1"/>
      <c r="D217" s="1">
        <f>ROW(A228)</f>
        <v>228</v>
      </c>
      <c r="E217" s="1"/>
      <c r="F217" s="1" t="s">
        <v>20</v>
      </c>
      <c r="G217" s="1" t="s">
        <v>314</v>
      </c>
      <c r="H217" s="1" t="s">
        <v>3</v>
      </c>
      <c r="I217" s="1">
        <v>0</v>
      </c>
      <c r="J217" s="1"/>
      <c r="K217" s="1">
        <v>0</v>
      </c>
      <c r="L217" s="1"/>
      <c r="M217" s="1"/>
      <c r="N217" s="1"/>
      <c r="O217" s="1"/>
      <c r="P217" s="1"/>
      <c r="Q217" s="1"/>
      <c r="R217" s="1"/>
      <c r="S217" s="1"/>
      <c r="T217" s="1"/>
      <c r="U217" s="1" t="s">
        <v>3</v>
      </c>
      <c r="V217" s="1">
        <v>0</v>
      </c>
      <c r="W217" s="1"/>
      <c r="X217" s="1"/>
      <c r="Y217" s="1"/>
      <c r="Z217" s="1"/>
      <c r="AA217" s="1"/>
      <c r="AB217" s="1" t="s">
        <v>3</v>
      </c>
      <c r="AC217" s="1" t="s">
        <v>3</v>
      </c>
      <c r="AD217" s="1" t="s">
        <v>3</v>
      </c>
      <c r="AE217" s="1" t="s">
        <v>3</v>
      </c>
      <c r="AF217" s="1" t="s">
        <v>3</v>
      </c>
      <c r="AG217" s="1" t="s">
        <v>3</v>
      </c>
      <c r="AH217" s="1"/>
      <c r="AI217" s="1"/>
      <c r="AJ217" s="1"/>
      <c r="AK217" s="1"/>
      <c r="AL217" s="1"/>
      <c r="AM217" s="1"/>
      <c r="AN217" s="1"/>
      <c r="AO217" s="1"/>
      <c r="AP217" s="1" t="s">
        <v>3</v>
      </c>
      <c r="AQ217" s="1" t="s">
        <v>3</v>
      </c>
      <c r="AR217" s="1" t="s">
        <v>3</v>
      </c>
      <c r="AS217" s="1"/>
      <c r="AT217" s="1"/>
      <c r="AU217" s="1"/>
      <c r="AV217" s="1"/>
      <c r="AW217" s="1"/>
      <c r="AX217" s="1"/>
      <c r="AY217" s="1"/>
      <c r="AZ217" s="1" t="s">
        <v>3</v>
      </c>
      <c r="BA217" s="1"/>
      <c r="BB217" s="1" t="s">
        <v>3</v>
      </c>
      <c r="BC217" s="1" t="s">
        <v>3</v>
      </c>
      <c r="BD217" s="1" t="s">
        <v>3</v>
      </c>
      <c r="BE217" s="1" t="s">
        <v>3</v>
      </c>
      <c r="BF217" s="1" t="s">
        <v>3</v>
      </c>
      <c r="BG217" s="1" t="s">
        <v>3</v>
      </c>
      <c r="BH217" s="1" t="s">
        <v>3</v>
      </c>
      <c r="BI217" s="1" t="s">
        <v>3</v>
      </c>
      <c r="BJ217" s="1" t="s">
        <v>3</v>
      </c>
      <c r="BK217" s="1" t="s">
        <v>3</v>
      </c>
      <c r="BL217" s="1" t="s">
        <v>3</v>
      </c>
      <c r="BM217" s="1" t="s">
        <v>3</v>
      </c>
      <c r="BN217" s="1" t="s">
        <v>3</v>
      </c>
      <c r="BO217" s="1" t="s">
        <v>3</v>
      </c>
      <c r="BP217" s="1" t="s">
        <v>3</v>
      </c>
      <c r="BQ217" s="1"/>
      <c r="BR217" s="1"/>
      <c r="BS217" s="1"/>
      <c r="BT217" s="1"/>
      <c r="BU217" s="1"/>
      <c r="BV217" s="1"/>
      <c r="BW217" s="1"/>
      <c r="BX217" s="1">
        <v>0</v>
      </c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>
        <v>0</v>
      </c>
    </row>
    <row r="219" spans="1:206" ht="12.75">
      <c r="A219" s="2">
        <v>52</v>
      </c>
      <c r="B219" s="2">
        <f aca="true" t="shared" si="169" ref="B219:G219">B228</f>
        <v>1</v>
      </c>
      <c r="C219" s="2">
        <f t="shared" si="169"/>
        <v>4</v>
      </c>
      <c r="D219" s="2">
        <f t="shared" si="169"/>
        <v>217</v>
      </c>
      <c r="E219" s="2">
        <f t="shared" si="169"/>
        <v>0</v>
      </c>
      <c r="F219" s="2" t="str">
        <f t="shared" si="169"/>
        <v>Новый раздел</v>
      </c>
      <c r="G219" s="2" t="str">
        <f t="shared" si="169"/>
        <v>Пусконаладочные работы. Измерение</v>
      </c>
      <c r="H219" s="2"/>
      <c r="I219" s="2"/>
      <c r="J219" s="2"/>
      <c r="K219" s="2"/>
      <c r="L219" s="2"/>
      <c r="M219" s="2"/>
      <c r="N219" s="2"/>
      <c r="O219" s="2">
        <f aca="true" t="shared" si="170" ref="O219:AT219">O228</f>
        <v>24258.9</v>
      </c>
      <c r="P219" s="2">
        <f t="shared" si="170"/>
        <v>0</v>
      </c>
      <c r="Q219" s="2">
        <f t="shared" si="170"/>
        <v>0</v>
      </c>
      <c r="R219" s="2">
        <f t="shared" si="170"/>
        <v>0</v>
      </c>
      <c r="S219" s="2">
        <f t="shared" si="170"/>
        <v>24258.9</v>
      </c>
      <c r="T219" s="2">
        <f t="shared" si="170"/>
        <v>0</v>
      </c>
      <c r="U219" s="2">
        <f t="shared" si="170"/>
        <v>103.58999999999999</v>
      </c>
      <c r="V219" s="2">
        <f t="shared" si="170"/>
        <v>0</v>
      </c>
      <c r="W219" s="2">
        <f t="shared" si="170"/>
        <v>0</v>
      </c>
      <c r="X219" s="2">
        <f t="shared" si="170"/>
        <v>13342.3</v>
      </c>
      <c r="Y219" s="2">
        <f t="shared" si="170"/>
        <v>7762.9</v>
      </c>
      <c r="Z219" s="2">
        <f t="shared" si="170"/>
        <v>0</v>
      </c>
      <c r="AA219" s="2">
        <f t="shared" si="170"/>
        <v>0</v>
      </c>
      <c r="AB219" s="2">
        <f t="shared" si="170"/>
        <v>24258.9</v>
      </c>
      <c r="AC219" s="2">
        <f t="shared" si="170"/>
        <v>0</v>
      </c>
      <c r="AD219" s="2">
        <f t="shared" si="170"/>
        <v>0</v>
      </c>
      <c r="AE219" s="2">
        <f t="shared" si="170"/>
        <v>0</v>
      </c>
      <c r="AF219" s="2">
        <f t="shared" si="170"/>
        <v>24258.9</v>
      </c>
      <c r="AG219" s="2">
        <f t="shared" si="170"/>
        <v>0</v>
      </c>
      <c r="AH219" s="2">
        <f t="shared" si="170"/>
        <v>103.58999999999999</v>
      </c>
      <c r="AI219" s="2">
        <f t="shared" si="170"/>
        <v>0</v>
      </c>
      <c r="AJ219" s="2">
        <f t="shared" si="170"/>
        <v>0</v>
      </c>
      <c r="AK219" s="2">
        <f t="shared" si="170"/>
        <v>13342.3</v>
      </c>
      <c r="AL219" s="2">
        <f t="shared" si="170"/>
        <v>7762.9</v>
      </c>
      <c r="AM219" s="2">
        <f t="shared" si="170"/>
        <v>0</v>
      </c>
      <c r="AN219" s="2">
        <f t="shared" si="170"/>
        <v>0</v>
      </c>
      <c r="AO219" s="2">
        <f t="shared" si="170"/>
        <v>0</v>
      </c>
      <c r="AP219" s="2">
        <f t="shared" si="170"/>
        <v>0</v>
      </c>
      <c r="AQ219" s="2">
        <f t="shared" si="170"/>
        <v>0</v>
      </c>
      <c r="AR219" s="2">
        <f t="shared" si="170"/>
        <v>45364.1</v>
      </c>
      <c r="AS219" s="2">
        <f t="shared" si="170"/>
        <v>0</v>
      </c>
      <c r="AT219" s="2">
        <f t="shared" si="170"/>
        <v>0</v>
      </c>
      <c r="AU219" s="2">
        <f aca="true" t="shared" si="171" ref="AU219:BZ219">AU228</f>
        <v>45364.1</v>
      </c>
      <c r="AV219" s="2">
        <f t="shared" si="171"/>
        <v>0</v>
      </c>
      <c r="AW219" s="2">
        <f t="shared" si="171"/>
        <v>0</v>
      </c>
      <c r="AX219" s="2">
        <f t="shared" si="171"/>
        <v>0</v>
      </c>
      <c r="AY219" s="2">
        <f t="shared" si="171"/>
        <v>0</v>
      </c>
      <c r="AZ219" s="2">
        <f t="shared" si="171"/>
        <v>0</v>
      </c>
      <c r="BA219" s="2">
        <f t="shared" si="171"/>
        <v>0</v>
      </c>
      <c r="BB219" s="2">
        <f t="shared" si="171"/>
        <v>0</v>
      </c>
      <c r="BC219" s="2">
        <f t="shared" si="171"/>
        <v>0</v>
      </c>
      <c r="BD219" s="2">
        <f t="shared" si="171"/>
        <v>0</v>
      </c>
      <c r="BE219" s="2">
        <f t="shared" si="171"/>
        <v>0</v>
      </c>
      <c r="BF219" s="2">
        <f t="shared" si="171"/>
        <v>0</v>
      </c>
      <c r="BG219" s="2">
        <f t="shared" si="171"/>
        <v>0</v>
      </c>
      <c r="BH219" s="2">
        <f t="shared" si="171"/>
        <v>0</v>
      </c>
      <c r="BI219" s="2">
        <f t="shared" si="171"/>
        <v>0</v>
      </c>
      <c r="BJ219" s="2">
        <f t="shared" si="171"/>
        <v>0</v>
      </c>
      <c r="BK219" s="2">
        <f t="shared" si="171"/>
        <v>0</v>
      </c>
      <c r="BL219" s="2">
        <f t="shared" si="171"/>
        <v>0</v>
      </c>
      <c r="BM219" s="2">
        <f t="shared" si="171"/>
        <v>0</v>
      </c>
      <c r="BN219" s="2">
        <f t="shared" si="171"/>
        <v>0</v>
      </c>
      <c r="BO219" s="2">
        <f t="shared" si="171"/>
        <v>0</v>
      </c>
      <c r="BP219" s="2">
        <f t="shared" si="171"/>
        <v>0</v>
      </c>
      <c r="BQ219" s="2">
        <f t="shared" si="171"/>
        <v>0</v>
      </c>
      <c r="BR219" s="2">
        <f t="shared" si="171"/>
        <v>0</v>
      </c>
      <c r="BS219" s="2">
        <f t="shared" si="171"/>
        <v>0</v>
      </c>
      <c r="BT219" s="2">
        <f t="shared" si="171"/>
        <v>0</v>
      </c>
      <c r="BU219" s="2">
        <f t="shared" si="171"/>
        <v>0</v>
      </c>
      <c r="BV219" s="2">
        <f t="shared" si="171"/>
        <v>0</v>
      </c>
      <c r="BW219" s="2">
        <f t="shared" si="171"/>
        <v>0</v>
      </c>
      <c r="BX219" s="2">
        <f t="shared" si="171"/>
        <v>0</v>
      </c>
      <c r="BY219" s="2">
        <f t="shared" si="171"/>
        <v>0</v>
      </c>
      <c r="BZ219" s="2">
        <f t="shared" si="171"/>
        <v>0</v>
      </c>
      <c r="CA219" s="2">
        <f aca="true" t="shared" si="172" ref="CA219:DF219">CA228</f>
        <v>45364.1</v>
      </c>
      <c r="CB219" s="2">
        <f t="shared" si="172"/>
        <v>0</v>
      </c>
      <c r="CC219" s="2">
        <f t="shared" si="172"/>
        <v>0</v>
      </c>
      <c r="CD219" s="2">
        <f t="shared" si="172"/>
        <v>45364.1</v>
      </c>
      <c r="CE219" s="2">
        <f t="shared" si="172"/>
        <v>0</v>
      </c>
      <c r="CF219" s="2">
        <f t="shared" si="172"/>
        <v>0</v>
      </c>
      <c r="CG219" s="2">
        <f t="shared" si="172"/>
        <v>0</v>
      </c>
      <c r="CH219" s="2">
        <f t="shared" si="172"/>
        <v>0</v>
      </c>
      <c r="CI219" s="2">
        <f t="shared" si="172"/>
        <v>0</v>
      </c>
      <c r="CJ219" s="2">
        <f t="shared" si="172"/>
        <v>0</v>
      </c>
      <c r="CK219" s="2">
        <f t="shared" si="172"/>
        <v>0</v>
      </c>
      <c r="CL219" s="2">
        <f t="shared" si="172"/>
        <v>0</v>
      </c>
      <c r="CM219" s="2">
        <f t="shared" si="172"/>
        <v>0</v>
      </c>
      <c r="CN219" s="2">
        <f t="shared" si="172"/>
        <v>0</v>
      </c>
      <c r="CO219" s="2">
        <f t="shared" si="172"/>
        <v>0</v>
      </c>
      <c r="CP219" s="2">
        <f t="shared" si="172"/>
        <v>0</v>
      </c>
      <c r="CQ219" s="2">
        <f t="shared" si="172"/>
        <v>0</v>
      </c>
      <c r="CR219" s="2">
        <f t="shared" si="172"/>
        <v>0</v>
      </c>
      <c r="CS219" s="2">
        <f t="shared" si="172"/>
        <v>0</v>
      </c>
      <c r="CT219" s="2">
        <f t="shared" si="172"/>
        <v>0</v>
      </c>
      <c r="CU219" s="2">
        <f t="shared" si="172"/>
        <v>0</v>
      </c>
      <c r="CV219" s="2">
        <f t="shared" si="172"/>
        <v>0</v>
      </c>
      <c r="CW219" s="2">
        <f t="shared" si="172"/>
        <v>0</v>
      </c>
      <c r="CX219" s="2">
        <f t="shared" si="172"/>
        <v>0</v>
      </c>
      <c r="CY219" s="2">
        <f t="shared" si="172"/>
        <v>0</v>
      </c>
      <c r="CZ219" s="2">
        <f t="shared" si="172"/>
        <v>0</v>
      </c>
      <c r="DA219" s="2">
        <f t="shared" si="172"/>
        <v>0</v>
      </c>
      <c r="DB219" s="2">
        <f t="shared" si="172"/>
        <v>0</v>
      </c>
      <c r="DC219" s="2">
        <f t="shared" si="172"/>
        <v>0</v>
      </c>
      <c r="DD219" s="2">
        <f t="shared" si="172"/>
        <v>0</v>
      </c>
      <c r="DE219" s="2">
        <f t="shared" si="172"/>
        <v>0</v>
      </c>
      <c r="DF219" s="2">
        <f t="shared" si="172"/>
        <v>0</v>
      </c>
      <c r="DG219" s="3">
        <f aca="true" t="shared" si="173" ref="DG219:EL219">DG228</f>
        <v>0</v>
      </c>
      <c r="DH219" s="3">
        <f t="shared" si="173"/>
        <v>0</v>
      </c>
      <c r="DI219" s="3">
        <f t="shared" si="173"/>
        <v>0</v>
      </c>
      <c r="DJ219" s="3">
        <f t="shared" si="173"/>
        <v>0</v>
      </c>
      <c r="DK219" s="3">
        <f t="shared" si="173"/>
        <v>0</v>
      </c>
      <c r="DL219" s="3">
        <f t="shared" si="173"/>
        <v>0</v>
      </c>
      <c r="DM219" s="3">
        <f t="shared" si="173"/>
        <v>0</v>
      </c>
      <c r="DN219" s="3">
        <f t="shared" si="173"/>
        <v>0</v>
      </c>
      <c r="DO219" s="3">
        <f t="shared" si="173"/>
        <v>0</v>
      </c>
      <c r="DP219" s="3">
        <f t="shared" si="173"/>
        <v>0</v>
      </c>
      <c r="DQ219" s="3">
        <f t="shared" si="173"/>
        <v>0</v>
      </c>
      <c r="DR219" s="3">
        <f t="shared" si="173"/>
        <v>0</v>
      </c>
      <c r="DS219" s="3">
        <f t="shared" si="173"/>
        <v>0</v>
      </c>
      <c r="DT219" s="3">
        <f t="shared" si="173"/>
        <v>0</v>
      </c>
      <c r="DU219" s="3">
        <f t="shared" si="173"/>
        <v>0</v>
      </c>
      <c r="DV219" s="3">
        <f t="shared" si="173"/>
        <v>0</v>
      </c>
      <c r="DW219" s="3">
        <f t="shared" si="173"/>
        <v>0</v>
      </c>
      <c r="DX219" s="3">
        <f t="shared" si="173"/>
        <v>0</v>
      </c>
      <c r="DY219" s="3">
        <f t="shared" si="173"/>
        <v>0</v>
      </c>
      <c r="DZ219" s="3">
        <f t="shared" si="173"/>
        <v>0</v>
      </c>
      <c r="EA219" s="3">
        <f t="shared" si="173"/>
        <v>0</v>
      </c>
      <c r="EB219" s="3">
        <f t="shared" si="173"/>
        <v>0</v>
      </c>
      <c r="EC219" s="3">
        <f t="shared" si="173"/>
        <v>0</v>
      </c>
      <c r="ED219" s="3">
        <f t="shared" si="173"/>
        <v>0</v>
      </c>
      <c r="EE219" s="3">
        <f t="shared" si="173"/>
        <v>0</v>
      </c>
      <c r="EF219" s="3">
        <f t="shared" si="173"/>
        <v>0</v>
      </c>
      <c r="EG219" s="3">
        <f t="shared" si="173"/>
        <v>0</v>
      </c>
      <c r="EH219" s="3">
        <f t="shared" si="173"/>
        <v>0</v>
      </c>
      <c r="EI219" s="3">
        <f t="shared" si="173"/>
        <v>0</v>
      </c>
      <c r="EJ219" s="3">
        <f t="shared" si="173"/>
        <v>0</v>
      </c>
      <c r="EK219" s="3">
        <f t="shared" si="173"/>
        <v>0</v>
      </c>
      <c r="EL219" s="3">
        <f t="shared" si="173"/>
        <v>0</v>
      </c>
      <c r="EM219" s="3">
        <f aca="true" t="shared" si="174" ref="EM219:FR219">EM228</f>
        <v>0</v>
      </c>
      <c r="EN219" s="3">
        <f t="shared" si="174"/>
        <v>0</v>
      </c>
      <c r="EO219" s="3">
        <f t="shared" si="174"/>
        <v>0</v>
      </c>
      <c r="EP219" s="3">
        <f t="shared" si="174"/>
        <v>0</v>
      </c>
      <c r="EQ219" s="3">
        <f t="shared" si="174"/>
        <v>0</v>
      </c>
      <c r="ER219" s="3">
        <f t="shared" si="174"/>
        <v>0</v>
      </c>
      <c r="ES219" s="3">
        <f t="shared" si="174"/>
        <v>0</v>
      </c>
      <c r="ET219" s="3">
        <f t="shared" si="174"/>
        <v>0</v>
      </c>
      <c r="EU219" s="3">
        <f t="shared" si="174"/>
        <v>0</v>
      </c>
      <c r="EV219" s="3">
        <f t="shared" si="174"/>
        <v>0</v>
      </c>
      <c r="EW219" s="3">
        <f t="shared" si="174"/>
        <v>0</v>
      </c>
      <c r="EX219" s="3">
        <f t="shared" si="174"/>
        <v>0</v>
      </c>
      <c r="EY219" s="3">
        <f t="shared" si="174"/>
        <v>0</v>
      </c>
      <c r="EZ219" s="3">
        <f t="shared" si="174"/>
        <v>0</v>
      </c>
      <c r="FA219" s="3">
        <f t="shared" si="174"/>
        <v>0</v>
      </c>
      <c r="FB219" s="3">
        <f t="shared" si="174"/>
        <v>0</v>
      </c>
      <c r="FC219" s="3">
        <f t="shared" si="174"/>
        <v>0</v>
      </c>
      <c r="FD219" s="3">
        <f t="shared" si="174"/>
        <v>0</v>
      </c>
      <c r="FE219" s="3">
        <f t="shared" si="174"/>
        <v>0</v>
      </c>
      <c r="FF219" s="3">
        <f t="shared" si="174"/>
        <v>0</v>
      </c>
      <c r="FG219" s="3">
        <f t="shared" si="174"/>
        <v>0</v>
      </c>
      <c r="FH219" s="3">
        <f t="shared" si="174"/>
        <v>0</v>
      </c>
      <c r="FI219" s="3">
        <f t="shared" si="174"/>
        <v>0</v>
      </c>
      <c r="FJ219" s="3">
        <f t="shared" si="174"/>
        <v>0</v>
      </c>
      <c r="FK219" s="3">
        <f t="shared" si="174"/>
        <v>0</v>
      </c>
      <c r="FL219" s="3">
        <f t="shared" si="174"/>
        <v>0</v>
      </c>
      <c r="FM219" s="3">
        <f t="shared" si="174"/>
        <v>0</v>
      </c>
      <c r="FN219" s="3">
        <f t="shared" si="174"/>
        <v>0</v>
      </c>
      <c r="FO219" s="3">
        <f t="shared" si="174"/>
        <v>0</v>
      </c>
      <c r="FP219" s="3">
        <f t="shared" si="174"/>
        <v>0</v>
      </c>
      <c r="FQ219" s="3">
        <f t="shared" si="174"/>
        <v>0</v>
      </c>
      <c r="FR219" s="3">
        <f t="shared" si="174"/>
        <v>0</v>
      </c>
      <c r="FS219" s="3">
        <f aca="true" t="shared" si="175" ref="FS219:GX219">FS228</f>
        <v>0</v>
      </c>
      <c r="FT219" s="3">
        <f t="shared" si="175"/>
        <v>0</v>
      </c>
      <c r="FU219" s="3">
        <f t="shared" si="175"/>
        <v>0</v>
      </c>
      <c r="FV219" s="3">
        <f t="shared" si="175"/>
        <v>0</v>
      </c>
      <c r="FW219" s="3">
        <f t="shared" si="175"/>
        <v>0</v>
      </c>
      <c r="FX219" s="3">
        <f t="shared" si="175"/>
        <v>0</v>
      </c>
      <c r="FY219" s="3">
        <f t="shared" si="175"/>
        <v>0</v>
      </c>
      <c r="FZ219" s="3">
        <f t="shared" si="175"/>
        <v>0</v>
      </c>
      <c r="GA219" s="3">
        <f t="shared" si="175"/>
        <v>0</v>
      </c>
      <c r="GB219" s="3">
        <f t="shared" si="175"/>
        <v>0</v>
      </c>
      <c r="GC219" s="3">
        <f t="shared" si="175"/>
        <v>0</v>
      </c>
      <c r="GD219" s="3">
        <f t="shared" si="175"/>
        <v>0</v>
      </c>
      <c r="GE219" s="3">
        <f t="shared" si="175"/>
        <v>0</v>
      </c>
      <c r="GF219" s="3">
        <f t="shared" si="175"/>
        <v>0</v>
      </c>
      <c r="GG219" s="3">
        <f t="shared" si="175"/>
        <v>0</v>
      </c>
      <c r="GH219" s="3">
        <f t="shared" si="175"/>
        <v>0</v>
      </c>
      <c r="GI219" s="3">
        <f t="shared" si="175"/>
        <v>0</v>
      </c>
      <c r="GJ219" s="3">
        <f t="shared" si="175"/>
        <v>0</v>
      </c>
      <c r="GK219" s="3">
        <f t="shared" si="175"/>
        <v>0</v>
      </c>
      <c r="GL219" s="3">
        <f t="shared" si="175"/>
        <v>0</v>
      </c>
      <c r="GM219" s="3">
        <f t="shared" si="175"/>
        <v>0</v>
      </c>
      <c r="GN219" s="3">
        <f t="shared" si="175"/>
        <v>0</v>
      </c>
      <c r="GO219" s="3">
        <f t="shared" si="175"/>
        <v>0</v>
      </c>
      <c r="GP219" s="3">
        <f t="shared" si="175"/>
        <v>0</v>
      </c>
      <c r="GQ219" s="3">
        <f t="shared" si="175"/>
        <v>0</v>
      </c>
      <c r="GR219" s="3">
        <f t="shared" si="175"/>
        <v>0</v>
      </c>
      <c r="GS219" s="3">
        <f t="shared" si="175"/>
        <v>0</v>
      </c>
      <c r="GT219" s="3">
        <f t="shared" si="175"/>
        <v>0</v>
      </c>
      <c r="GU219" s="3">
        <f t="shared" si="175"/>
        <v>0</v>
      </c>
      <c r="GV219" s="3">
        <f t="shared" si="175"/>
        <v>0</v>
      </c>
      <c r="GW219" s="3">
        <f t="shared" si="175"/>
        <v>0</v>
      </c>
      <c r="GX219" s="3">
        <f t="shared" si="175"/>
        <v>0</v>
      </c>
    </row>
    <row r="221" spans="1:245" ht="12.75">
      <c r="A221">
        <v>17</v>
      </c>
      <c r="B221">
        <v>1</v>
      </c>
      <c r="C221">
        <f>ROW(SmtRes!A197)</f>
        <v>197</v>
      </c>
      <c r="D221">
        <f>ROW(EtalonRes!A198)</f>
        <v>198</v>
      </c>
      <c r="E221" t="s">
        <v>315</v>
      </c>
      <c r="F221" t="s">
        <v>316</v>
      </c>
      <c r="G221" t="s">
        <v>317</v>
      </c>
      <c r="H221" t="s">
        <v>153</v>
      </c>
      <c r="I221">
        <f>ROUND(2,3)</f>
        <v>2</v>
      </c>
      <c r="J221">
        <v>0</v>
      </c>
      <c r="O221">
        <f aca="true" t="shared" si="176" ref="O221:O226">ROUND(CP221,1)</f>
        <v>5588.4</v>
      </c>
      <c r="P221">
        <f aca="true" t="shared" si="177" ref="P221:P226">ROUND(CQ221*I221,1)</f>
        <v>0</v>
      </c>
      <c r="Q221">
        <f aca="true" t="shared" si="178" ref="Q221:Q226">ROUND(CR221*I221,1)</f>
        <v>0</v>
      </c>
      <c r="R221">
        <f aca="true" t="shared" si="179" ref="R221:R226">ROUND(CS221*I221,1)</f>
        <v>0</v>
      </c>
      <c r="S221">
        <f aca="true" t="shared" si="180" ref="S221:S226">ROUND(CT221*I221,1)</f>
        <v>5588.4</v>
      </c>
      <c r="T221">
        <f aca="true" t="shared" si="181" ref="T221:T226">ROUND(CU221*I221,1)</f>
        <v>0</v>
      </c>
      <c r="U221">
        <f aca="true" t="shared" si="182" ref="U221:U226">CV221*I221</f>
        <v>21.6</v>
      </c>
      <c r="V221">
        <f aca="true" t="shared" si="183" ref="V221:V226">CW221*I221</f>
        <v>0</v>
      </c>
      <c r="W221">
        <f aca="true" t="shared" si="184" ref="W221:W226">ROUND(CX221*I221,1)</f>
        <v>0</v>
      </c>
      <c r="X221">
        <f aca="true" t="shared" si="185" ref="X221:Y226">ROUND(CY221,1)</f>
        <v>3073.6</v>
      </c>
      <c r="Y221">
        <f t="shared" si="185"/>
        <v>1788.3</v>
      </c>
      <c r="AA221">
        <v>42253831</v>
      </c>
      <c r="AB221">
        <f aca="true" t="shared" si="186" ref="AB221:AB226">ROUND((AC221+AD221+AF221),6)</f>
        <v>139.99</v>
      </c>
      <c r="AC221">
        <f aca="true" t="shared" si="187" ref="AC221:AC226">ROUND((ES221),6)</f>
        <v>0</v>
      </c>
      <c r="AD221">
        <f aca="true" t="shared" si="188" ref="AD221:AD226">ROUND((((ET221)-(EU221))+AE221),6)</f>
        <v>0</v>
      </c>
      <c r="AE221">
        <f aca="true" t="shared" si="189" ref="AE221:AF226">ROUND((EU221),6)</f>
        <v>0</v>
      </c>
      <c r="AF221">
        <f t="shared" si="189"/>
        <v>139.99</v>
      </c>
      <c r="AG221">
        <f aca="true" t="shared" si="190" ref="AG221:AG226">ROUND((AP221),6)</f>
        <v>0</v>
      </c>
      <c r="AH221">
        <f aca="true" t="shared" si="191" ref="AH221:AI226">(EW221)</f>
        <v>10.8</v>
      </c>
      <c r="AI221">
        <f t="shared" si="191"/>
        <v>0</v>
      </c>
      <c r="AJ221">
        <f aca="true" t="shared" si="192" ref="AJ221:AJ226">ROUND((AS221),6)</f>
        <v>0</v>
      </c>
      <c r="AK221">
        <v>139.99</v>
      </c>
      <c r="AL221">
        <v>0</v>
      </c>
      <c r="AM221">
        <v>0</v>
      </c>
      <c r="AN221">
        <v>0</v>
      </c>
      <c r="AO221">
        <v>139.99</v>
      </c>
      <c r="AP221">
        <v>0</v>
      </c>
      <c r="AQ221">
        <v>10.8</v>
      </c>
      <c r="AR221">
        <v>0</v>
      </c>
      <c r="AS221">
        <v>0</v>
      </c>
      <c r="AT221">
        <v>55</v>
      </c>
      <c r="AU221">
        <v>32</v>
      </c>
      <c r="AV221">
        <v>1</v>
      </c>
      <c r="AW221">
        <v>1</v>
      </c>
      <c r="AZ221">
        <v>1</v>
      </c>
      <c r="BA221">
        <v>19.96</v>
      </c>
      <c r="BB221">
        <v>19.96</v>
      </c>
      <c r="BC221">
        <v>19.96</v>
      </c>
      <c r="BH221">
        <v>0</v>
      </c>
      <c r="BI221">
        <v>4</v>
      </c>
      <c r="BJ221" t="s">
        <v>318</v>
      </c>
      <c r="BM221">
        <v>200001</v>
      </c>
      <c r="BN221">
        <v>0</v>
      </c>
      <c r="BO221" t="s">
        <v>27</v>
      </c>
      <c r="BP221">
        <v>1</v>
      </c>
      <c r="BQ221">
        <v>4</v>
      </c>
      <c r="BR221">
        <v>0</v>
      </c>
      <c r="BS221">
        <v>19.96</v>
      </c>
      <c r="BT221">
        <v>1</v>
      </c>
      <c r="BU221">
        <v>1</v>
      </c>
      <c r="BV221">
        <v>1</v>
      </c>
      <c r="BW221">
        <v>1</v>
      </c>
      <c r="BX221">
        <v>1</v>
      </c>
      <c r="BZ221">
        <v>65</v>
      </c>
      <c r="CA221">
        <v>40</v>
      </c>
      <c r="CF221">
        <v>0</v>
      </c>
      <c r="CG221">
        <v>0</v>
      </c>
      <c r="CM221">
        <v>0</v>
      </c>
      <c r="CO221">
        <v>0</v>
      </c>
      <c r="CP221">
        <f aca="true" t="shared" si="193" ref="CP221:CP226">(P221+Q221+S221)</f>
        <v>5588.4</v>
      </c>
      <c r="CQ221">
        <f aca="true" t="shared" si="194" ref="CQ221:CQ226">AC221*BC221</f>
        <v>0</v>
      </c>
      <c r="CR221">
        <f aca="true" t="shared" si="195" ref="CR221:CR226">AD221*BB221</f>
        <v>0</v>
      </c>
      <c r="CS221">
        <f aca="true" t="shared" si="196" ref="CS221:CS226">AE221*BS221</f>
        <v>0</v>
      </c>
      <c r="CT221">
        <f aca="true" t="shared" si="197" ref="CT221:CT226">AF221*BA221</f>
        <v>2794.2004</v>
      </c>
      <c r="CU221">
        <f aca="true" t="shared" si="198" ref="CU221:CX226">AG221</f>
        <v>0</v>
      </c>
      <c r="CV221">
        <f t="shared" si="198"/>
        <v>10.8</v>
      </c>
      <c r="CW221">
        <f t="shared" si="198"/>
        <v>0</v>
      </c>
      <c r="CX221">
        <f t="shared" si="198"/>
        <v>0</v>
      </c>
      <c r="CY221">
        <f aca="true" t="shared" si="199" ref="CY221:CY226">(((S221+R221)*AT221)/100)</f>
        <v>3073.62</v>
      </c>
      <c r="CZ221">
        <f aca="true" t="shared" si="200" ref="CZ221:CZ226">(((S221+R221)*AU221)/100)</f>
        <v>1788.2879999999998</v>
      </c>
      <c r="DN221">
        <v>0</v>
      </c>
      <c r="DO221">
        <v>0</v>
      </c>
      <c r="DP221">
        <v>1</v>
      </c>
      <c r="DQ221">
        <v>1</v>
      </c>
      <c r="DU221">
        <v>1013</v>
      </c>
      <c r="DV221" t="s">
        <v>153</v>
      </c>
      <c r="DW221" t="s">
        <v>153</v>
      </c>
      <c r="DX221">
        <v>1</v>
      </c>
      <c r="EE221">
        <v>39125296</v>
      </c>
      <c r="EF221">
        <v>4</v>
      </c>
      <c r="EG221" t="s">
        <v>319</v>
      </c>
      <c r="EH221">
        <v>0</v>
      </c>
      <c r="EJ221">
        <v>4</v>
      </c>
      <c r="EK221">
        <v>200001</v>
      </c>
      <c r="EL221" t="s">
        <v>320</v>
      </c>
      <c r="EM221" t="s">
        <v>321</v>
      </c>
      <c r="EQ221">
        <v>0</v>
      </c>
      <c r="ER221">
        <v>139.99</v>
      </c>
      <c r="ES221">
        <v>0</v>
      </c>
      <c r="ET221">
        <v>0</v>
      </c>
      <c r="EU221">
        <v>0</v>
      </c>
      <c r="EV221">
        <v>139.99</v>
      </c>
      <c r="EW221">
        <v>10.8</v>
      </c>
      <c r="EX221">
        <v>0</v>
      </c>
      <c r="EY221">
        <v>0</v>
      </c>
      <c r="FQ221">
        <v>0</v>
      </c>
      <c r="FR221">
        <f aca="true" t="shared" si="201" ref="FR221:FR226">ROUND(IF(AND(BH221=3,BI221=3),P221,0),1)</f>
        <v>0</v>
      </c>
      <c r="FS221">
        <v>0</v>
      </c>
      <c r="FV221" t="s">
        <v>31</v>
      </c>
      <c r="FW221" t="s">
        <v>32</v>
      </c>
      <c r="FX221">
        <v>65</v>
      </c>
      <c r="FY221">
        <v>40</v>
      </c>
      <c r="GD221">
        <v>0</v>
      </c>
      <c r="GF221">
        <v>-876333902</v>
      </c>
      <c r="GG221">
        <v>2</v>
      </c>
      <c r="GH221">
        <v>1</v>
      </c>
      <c r="GI221">
        <v>4</v>
      </c>
      <c r="GJ221">
        <v>0</v>
      </c>
      <c r="GK221">
        <f>ROUND(R221*(R12)/100,1)</f>
        <v>0</v>
      </c>
      <c r="GL221">
        <f aca="true" t="shared" si="202" ref="GL221:GL226">ROUND(IF(AND(BH221=3,BI221=3,FS221&lt;&gt;0),P221,0),1)</f>
        <v>0</v>
      </c>
      <c r="GM221">
        <f aca="true" t="shared" si="203" ref="GM221:GM226">ROUND(O221+X221+Y221+GK221,1)+GX221</f>
        <v>10450.3</v>
      </c>
      <c r="GN221">
        <f aca="true" t="shared" si="204" ref="GN221:GN226">IF(OR(BI221=0,BI221=1),GM221,0)</f>
        <v>0</v>
      </c>
      <c r="GO221">
        <f aca="true" t="shared" si="205" ref="GO221:GO226">IF(BI221=2,GM221,0)</f>
        <v>0</v>
      </c>
      <c r="GP221">
        <f aca="true" t="shared" si="206" ref="GP221:GP226">IF(BI221=4,GM221,0)</f>
        <v>10450.3</v>
      </c>
      <c r="GR221">
        <v>0</v>
      </c>
      <c r="GS221">
        <v>3</v>
      </c>
      <c r="GT221">
        <v>0</v>
      </c>
      <c r="GV221">
        <f aca="true" t="shared" si="207" ref="GV221:GV226">ROUND(GT221,6)</f>
        <v>0</v>
      </c>
      <c r="GW221">
        <v>19.96</v>
      </c>
      <c r="GX221">
        <f aca="true" t="shared" si="208" ref="GX221:GX226">ROUND(GV221*GW221*I221,1)</f>
        <v>0</v>
      </c>
      <c r="HA221">
        <v>0</v>
      </c>
      <c r="HB221">
        <v>0</v>
      </c>
      <c r="IK221">
        <v>0</v>
      </c>
    </row>
    <row r="222" spans="1:245" ht="12.75">
      <c r="A222">
        <v>17</v>
      </c>
      <c r="B222">
        <v>1</v>
      </c>
      <c r="C222">
        <f>ROW(SmtRes!A199)</f>
        <v>199</v>
      </c>
      <c r="D222">
        <f>ROW(EtalonRes!A200)</f>
        <v>200</v>
      </c>
      <c r="E222" t="s">
        <v>322</v>
      </c>
      <c r="F222" t="s">
        <v>323</v>
      </c>
      <c r="G222" t="s">
        <v>324</v>
      </c>
      <c r="H222" t="s">
        <v>325</v>
      </c>
      <c r="I222">
        <f>ROUND(1,3)</f>
        <v>1</v>
      </c>
      <c r="J222">
        <v>0</v>
      </c>
      <c r="O222">
        <f t="shared" si="176"/>
        <v>1667.7</v>
      </c>
      <c r="P222">
        <f t="shared" si="177"/>
        <v>0</v>
      </c>
      <c r="Q222">
        <f t="shared" si="178"/>
        <v>0</v>
      </c>
      <c r="R222">
        <f t="shared" si="179"/>
        <v>0</v>
      </c>
      <c r="S222">
        <f t="shared" si="180"/>
        <v>1667.7</v>
      </c>
      <c r="T222">
        <f t="shared" si="181"/>
        <v>0</v>
      </c>
      <c r="U222">
        <f t="shared" si="182"/>
        <v>7.29</v>
      </c>
      <c r="V222">
        <f t="shared" si="183"/>
        <v>0</v>
      </c>
      <c r="W222">
        <f t="shared" si="184"/>
        <v>0</v>
      </c>
      <c r="X222">
        <f t="shared" si="185"/>
        <v>917.2</v>
      </c>
      <c r="Y222">
        <f t="shared" si="185"/>
        <v>533.7</v>
      </c>
      <c r="AA222">
        <v>42253831</v>
      </c>
      <c r="AB222">
        <f t="shared" si="186"/>
        <v>83.55</v>
      </c>
      <c r="AC222">
        <f t="shared" si="187"/>
        <v>0</v>
      </c>
      <c r="AD222">
        <f t="shared" si="188"/>
        <v>0</v>
      </c>
      <c r="AE222">
        <f t="shared" si="189"/>
        <v>0</v>
      </c>
      <c r="AF222">
        <f t="shared" si="189"/>
        <v>83.55</v>
      </c>
      <c r="AG222">
        <f t="shared" si="190"/>
        <v>0</v>
      </c>
      <c r="AH222">
        <f t="shared" si="191"/>
        <v>7.29</v>
      </c>
      <c r="AI222">
        <f t="shared" si="191"/>
        <v>0</v>
      </c>
      <c r="AJ222">
        <f t="shared" si="192"/>
        <v>0</v>
      </c>
      <c r="AK222">
        <v>83.55</v>
      </c>
      <c r="AL222">
        <v>0</v>
      </c>
      <c r="AM222">
        <v>0</v>
      </c>
      <c r="AN222">
        <v>0</v>
      </c>
      <c r="AO222">
        <v>83.55</v>
      </c>
      <c r="AP222">
        <v>0</v>
      </c>
      <c r="AQ222">
        <v>7.29</v>
      </c>
      <c r="AR222">
        <v>0</v>
      </c>
      <c r="AS222">
        <v>0</v>
      </c>
      <c r="AT222">
        <v>55</v>
      </c>
      <c r="AU222">
        <v>32</v>
      </c>
      <c r="AV222">
        <v>1</v>
      </c>
      <c r="AW222">
        <v>1</v>
      </c>
      <c r="AZ222">
        <v>1</v>
      </c>
      <c r="BA222">
        <v>19.96</v>
      </c>
      <c r="BB222">
        <v>19.96</v>
      </c>
      <c r="BC222">
        <v>19.96</v>
      </c>
      <c r="BH222">
        <v>0</v>
      </c>
      <c r="BI222">
        <v>4</v>
      </c>
      <c r="BJ222" t="s">
        <v>326</v>
      </c>
      <c r="BM222">
        <v>200001</v>
      </c>
      <c r="BN222">
        <v>0</v>
      </c>
      <c r="BO222" t="s">
        <v>27</v>
      </c>
      <c r="BP222">
        <v>1</v>
      </c>
      <c r="BQ222">
        <v>4</v>
      </c>
      <c r="BR222">
        <v>0</v>
      </c>
      <c r="BS222">
        <v>19.96</v>
      </c>
      <c r="BT222">
        <v>1</v>
      </c>
      <c r="BU222">
        <v>1</v>
      </c>
      <c r="BV222">
        <v>1</v>
      </c>
      <c r="BW222">
        <v>1</v>
      </c>
      <c r="BX222">
        <v>1</v>
      </c>
      <c r="BZ222">
        <v>65</v>
      </c>
      <c r="CA222">
        <v>40</v>
      </c>
      <c r="CF222">
        <v>0</v>
      </c>
      <c r="CG222">
        <v>0</v>
      </c>
      <c r="CM222">
        <v>0</v>
      </c>
      <c r="CO222">
        <v>0</v>
      </c>
      <c r="CP222">
        <f t="shared" si="193"/>
        <v>1667.7</v>
      </c>
      <c r="CQ222">
        <f t="shared" si="194"/>
        <v>0</v>
      </c>
      <c r="CR222">
        <f t="shared" si="195"/>
        <v>0</v>
      </c>
      <c r="CS222">
        <f t="shared" si="196"/>
        <v>0</v>
      </c>
      <c r="CT222">
        <f t="shared" si="197"/>
        <v>1667.658</v>
      </c>
      <c r="CU222">
        <f t="shared" si="198"/>
        <v>0</v>
      </c>
      <c r="CV222">
        <f t="shared" si="198"/>
        <v>7.29</v>
      </c>
      <c r="CW222">
        <f t="shared" si="198"/>
        <v>0</v>
      </c>
      <c r="CX222">
        <f t="shared" si="198"/>
        <v>0</v>
      </c>
      <c r="CY222">
        <f t="shared" si="199"/>
        <v>917.235</v>
      </c>
      <c r="CZ222">
        <f t="shared" si="200"/>
        <v>533.664</v>
      </c>
      <c r="DN222">
        <v>0</v>
      </c>
      <c r="DO222">
        <v>0</v>
      </c>
      <c r="DP222">
        <v>1</v>
      </c>
      <c r="DQ222">
        <v>1</v>
      </c>
      <c r="DU222">
        <v>1013</v>
      </c>
      <c r="DV222" t="s">
        <v>325</v>
      </c>
      <c r="DW222" t="s">
        <v>325</v>
      </c>
      <c r="DX222">
        <v>1</v>
      </c>
      <c r="EE222">
        <v>39125296</v>
      </c>
      <c r="EF222">
        <v>4</v>
      </c>
      <c r="EG222" t="s">
        <v>319</v>
      </c>
      <c r="EH222">
        <v>0</v>
      </c>
      <c r="EJ222">
        <v>4</v>
      </c>
      <c r="EK222">
        <v>200001</v>
      </c>
      <c r="EL222" t="s">
        <v>320</v>
      </c>
      <c r="EM222" t="s">
        <v>321</v>
      </c>
      <c r="EQ222">
        <v>0</v>
      </c>
      <c r="ER222">
        <v>83.55</v>
      </c>
      <c r="ES222">
        <v>0</v>
      </c>
      <c r="ET222">
        <v>0</v>
      </c>
      <c r="EU222">
        <v>0</v>
      </c>
      <c r="EV222">
        <v>83.55</v>
      </c>
      <c r="EW222">
        <v>7.29</v>
      </c>
      <c r="EX222">
        <v>0</v>
      </c>
      <c r="EY222">
        <v>0</v>
      </c>
      <c r="FQ222">
        <v>0</v>
      </c>
      <c r="FR222">
        <f t="shared" si="201"/>
        <v>0</v>
      </c>
      <c r="FS222">
        <v>0</v>
      </c>
      <c r="FV222" t="s">
        <v>31</v>
      </c>
      <c r="FW222" t="s">
        <v>32</v>
      </c>
      <c r="FX222">
        <v>65</v>
      </c>
      <c r="FY222">
        <v>40</v>
      </c>
      <c r="GD222">
        <v>0</v>
      </c>
      <c r="GF222">
        <v>-1078290531</v>
      </c>
      <c r="GG222">
        <v>2</v>
      </c>
      <c r="GH222">
        <v>1</v>
      </c>
      <c r="GI222">
        <v>4</v>
      </c>
      <c r="GJ222">
        <v>0</v>
      </c>
      <c r="GK222">
        <f>ROUND(R222*(R12)/100,1)</f>
        <v>0</v>
      </c>
      <c r="GL222">
        <f t="shared" si="202"/>
        <v>0</v>
      </c>
      <c r="GM222">
        <f t="shared" si="203"/>
        <v>3118.6</v>
      </c>
      <c r="GN222">
        <f t="shared" si="204"/>
        <v>0</v>
      </c>
      <c r="GO222">
        <f t="shared" si="205"/>
        <v>0</v>
      </c>
      <c r="GP222">
        <f t="shared" si="206"/>
        <v>3118.6</v>
      </c>
      <c r="GR222">
        <v>0</v>
      </c>
      <c r="GS222">
        <v>3</v>
      </c>
      <c r="GT222">
        <v>0</v>
      </c>
      <c r="GV222">
        <f t="shared" si="207"/>
        <v>0</v>
      </c>
      <c r="GW222">
        <v>19.96</v>
      </c>
      <c r="GX222">
        <f t="shared" si="208"/>
        <v>0</v>
      </c>
      <c r="HA222">
        <v>0</v>
      </c>
      <c r="HB222">
        <v>0</v>
      </c>
      <c r="IK222">
        <v>0</v>
      </c>
    </row>
    <row r="223" spans="1:245" ht="12.75">
      <c r="A223">
        <v>17</v>
      </c>
      <c r="B223">
        <v>1</v>
      </c>
      <c r="C223">
        <f>ROW(SmtRes!A201)</f>
        <v>201</v>
      </c>
      <c r="D223">
        <f>ROW(EtalonRes!A202)</f>
        <v>202</v>
      </c>
      <c r="E223" t="s">
        <v>327</v>
      </c>
      <c r="F223" t="s">
        <v>328</v>
      </c>
      <c r="G223" t="s">
        <v>329</v>
      </c>
      <c r="H223" t="s">
        <v>153</v>
      </c>
      <c r="I223">
        <f>ROUND(10,3)</f>
        <v>10</v>
      </c>
      <c r="J223">
        <v>0</v>
      </c>
      <c r="O223">
        <f t="shared" si="176"/>
        <v>3265.5</v>
      </c>
      <c r="P223">
        <f t="shared" si="177"/>
        <v>0</v>
      </c>
      <c r="Q223">
        <f t="shared" si="178"/>
        <v>0</v>
      </c>
      <c r="R223">
        <f t="shared" si="179"/>
        <v>0</v>
      </c>
      <c r="S223">
        <f t="shared" si="180"/>
        <v>3265.5</v>
      </c>
      <c r="T223">
        <f t="shared" si="181"/>
        <v>0</v>
      </c>
      <c r="U223">
        <f t="shared" si="182"/>
        <v>13.5</v>
      </c>
      <c r="V223">
        <f t="shared" si="183"/>
        <v>0</v>
      </c>
      <c r="W223">
        <f t="shared" si="184"/>
        <v>0</v>
      </c>
      <c r="X223">
        <f t="shared" si="185"/>
        <v>1796</v>
      </c>
      <c r="Y223">
        <f t="shared" si="185"/>
        <v>1045</v>
      </c>
      <c r="AA223">
        <v>42253831</v>
      </c>
      <c r="AB223">
        <f t="shared" si="186"/>
        <v>16.36</v>
      </c>
      <c r="AC223">
        <f t="shared" si="187"/>
        <v>0</v>
      </c>
      <c r="AD223">
        <f t="shared" si="188"/>
        <v>0</v>
      </c>
      <c r="AE223">
        <f t="shared" si="189"/>
        <v>0</v>
      </c>
      <c r="AF223">
        <f t="shared" si="189"/>
        <v>16.36</v>
      </c>
      <c r="AG223">
        <f t="shared" si="190"/>
        <v>0</v>
      </c>
      <c r="AH223">
        <f t="shared" si="191"/>
        <v>1.35</v>
      </c>
      <c r="AI223">
        <f t="shared" si="191"/>
        <v>0</v>
      </c>
      <c r="AJ223">
        <f t="shared" si="192"/>
        <v>0</v>
      </c>
      <c r="AK223">
        <v>16.36</v>
      </c>
      <c r="AL223">
        <v>0</v>
      </c>
      <c r="AM223">
        <v>0</v>
      </c>
      <c r="AN223">
        <v>0</v>
      </c>
      <c r="AO223">
        <v>16.36</v>
      </c>
      <c r="AP223">
        <v>0</v>
      </c>
      <c r="AQ223">
        <v>1.35</v>
      </c>
      <c r="AR223">
        <v>0</v>
      </c>
      <c r="AS223">
        <v>0</v>
      </c>
      <c r="AT223">
        <v>55</v>
      </c>
      <c r="AU223">
        <v>32</v>
      </c>
      <c r="AV223">
        <v>1</v>
      </c>
      <c r="AW223">
        <v>1</v>
      </c>
      <c r="AZ223">
        <v>1</v>
      </c>
      <c r="BA223">
        <v>19.96</v>
      </c>
      <c r="BB223">
        <v>19.96</v>
      </c>
      <c r="BC223">
        <v>19.96</v>
      </c>
      <c r="BH223">
        <v>0</v>
      </c>
      <c r="BI223">
        <v>4</v>
      </c>
      <c r="BJ223" t="s">
        <v>330</v>
      </c>
      <c r="BM223">
        <v>200001</v>
      </c>
      <c r="BN223">
        <v>0</v>
      </c>
      <c r="BO223" t="s">
        <v>27</v>
      </c>
      <c r="BP223">
        <v>1</v>
      </c>
      <c r="BQ223">
        <v>4</v>
      </c>
      <c r="BR223">
        <v>0</v>
      </c>
      <c r="BS223">
        <v>19.96</v>
      </c>
      <c r="BT223">
        <v>1</v>
      </c>
      <c r="BU223">
        <v>1</v>
      </c>
      <c r="BV223">
        <v>1</v>
      </c>
      <c r="BW223">
        <v>1</v>
      </c>
      <c r="BX223">
        <v>1</v>
      </c>
      <c r="BZ223">
        <v>65</v>
      </c>
      <c r="CA223">
        <v>40</v>
      </c>
      <c r="CF223">
        <v>0</v>
      </c>
      <c r="CG223">
        <v>0</v>
      </c>
      <c r="CM223">
        <v>0</v>
      </c>
      <c r="CO223">
        <v>0</v>
      </c>
      <c r="CP223">
        <f t="shared" si="193"/>
        <v>3265.5</v>
      </c>
      <c r="CQ223">
        <f t="shared" si="194"/>
        <v>0</v>
      </c>
      <c r="CR223">
        <f t="shared" si="195"/>
        <v>0</v>
      </c>
      <c r="CS223">
        <f t="shared" si="196"/>
        <v>0</v>
      </c>
      <c r="CT223">
        <f t="shared" si="197"/>
        <v>326.5456</v>
      </c>
      <c r="CU223">
        <f t="shared" si="198"/>
        <v>0</v>
      </c>
      <c r="CV223">
        <f t="shared" si="198"/>
        <v>1.35</v>
      </c>
      <c r="CW223">
        <f t="shared" si="198"/>
        <v>0</v>
      </c>
      <c r="CX223">
        <f t="shared" si="198"/>
        <v>0</v>
      </c>
      <c r="CY223">
        <f t="shared" si="199"/>
        <v>1796.025</v>
      </c>
      <c r="CZ223">
        <f t="shared" si="200"/>
        <v>1044.96</v>
      </c>
      <c r="DN223">
        <v>0</v>
      </c>
      <c r="DO223">
        <v>0</v>
      </c>
      <c r="DP223">
        <v>1</v>
      </c>
      <c r="DQ223">
        <v>1</v>
      </c>
      <c r="DU223">
        <v>1013</v>
      </c>
      <c r="DV223" t="s">
        <v>153</v>
      </c>
      <c r="DW223" t="s">
        <v>153</v>
      </c>
      <c r="DX223">
        <v>1</v>
      </c>
      <c r="EE223">
        <v>39125296</v>
      </c>
      <c r="EF223">
        <v>4</v>
      </c>
      <c r="EG223" t="s">
        <v>319</v>
      </c>
      <c r="EH223">
        <v>0</v>
      </c>
      <c r="EJ223">
        <v>4</v>
      </c>
      <c r="EK223">
        <v>200001</v>
      </c>
      <c r="EL223" t="s">
        <v>320</v>
      </c>
      <c r="EM223" t="s">
        <v>321</v>
      </c>
      <c r="EQ223">
        <v>0</v>
      </c>
      <c r="ER223">
        <v>16.36</v>
      </c>
      <c r="ES223">
        <v>0</v>
      </c>
      <c r="ET223">
        <v>0</v>
      </c>
      <c r="EU223">
        <v>0</v>
      </c>
      <c r="EV223">
        <v>16.36</v>
      </c>
      <c r="EW223">
        <v>1.35</v>
      </c>
      <c r="EX223">
        <v>0</v>
      </c>
      <c r="EY223">
        <v>0</v>
      </c>
      <c r="FQ223">
        <v>0</v>
      </c>
      <c r="FR223">
        <f t="shared" si="201"/>
        <v>0</v>
      </c>
      <c r="FS223">
        <v>0</v>
      </c>
      <c r="FV223" t="s">
        <v>31</v>
      </c>
      <c r="FW223" t="s">
        <v>32</v>
      </c>
      <c r="FX223">
        <v>65</v>
      </c>
      <c r="FY223">
        <v>40</v>
      </c>
      <c r="GD223">
        <v>0</v>
      </c>
      <c r="GF223">
        <v>1691085382</v>
      </c>
      <c r="GG223">
        <v>2</v>
      </c>
      <c r="GH223">
        <v>1</v>
      </c>
      <c r="GI223">
        <v>4</v>
      </c>
      <c r="GJ223">
        <v>0</v>
      </c>
      <c r="GK223">
        <f>ROUND(R223*(R12)/100,1)</f>
        <v>0</v>
      </c>
      <c r="GL223">
        <f t="shared" si="202"/>
        <v>0</v>
      </c>
      <c r="GM223">
        <f t="shared" si="203"/>
        <v>6106.5</v>
      </c>
      <c r="GN223">
        <f t="shared" si="204"/>
        <v>0</v>
      </c>
      <c r="GO223">
        <f t="shared" si="205"/>
        <v>0</v>
      </c>
      <c r="GP223">
        <f t="shared" si="206"/>
        <v>6106.5</v>
      </c>
      <c r="GR223">
        <v>0</v>
      </c>
      <c r="GS223">
        <v>3</v>
      </c>
      <c r="GT223">
        <v>0</v>
      </c>
      <c r="GV223">
        <f t="shared" si="207"/>
        <v>0</v>
      </c>
      <c r="GW223">
        <v>19.96</v>
      </c>
      <c r="GX223">
        <f t="shared" si="208"/>
        <v>0</v>
      </c>
      <c r="HA223">
        <v>0</v>
      </c>
      <c r="HB223">
        <v>0</v>
      </c>
      <c r="IK223">
        <v>0</v>
      </c>
    </row>
    <row r="224" spans="1:245" ht="12.75">
      <c r="A224">
        <v>17</v>
      </c>
      <c r="B224">
        <v>1</v>
      </c>
      <c r="C224">
        <f>ROW(SmtRes!A203)</f>
        <v>203</v>
      </c>
      <c r="D224">
        <f>ROW(EtalonRes!A204)</f>
        <v>204</v>
      </c>
      <c r="E224" t="s">
        <v>331</v>
      </c>
      <c r="F224" t="s">
        <v>332</v>
      </c>
      <c r="G224" t="s">
        <v>333</v>
      </c>
      <c r="H224" t="s">
        <v>325</v>
      </c>
      <c r="I224">
        <f>ROUND(8,3)</f>
        <v>8</v>
      </c>
      <c r="J224">
        <v>0</v>
      </c>
      <c r="O224">
        <f t="shared" si="176"/>
        <v>5002.8</v>
      </c>
      <c r="P224">
        <f t="shared" si="177"/>
        <v>0</v>
      </c>
      <c r="Q224">
        <f t="shared" si="178"/>
        <v>0</v>
      </c>
      <c r="R224">
        <f t="shared" si="179"/>
        <v>0</v>
      </c>
      <c r="S224">
        <f t="shared" si="180"/>
        <v>5002.8</v>
      </c>
      <c r="T224">
        <f t="shared" si="181"/>
        <v>0</v>
      </c>
      <c r="U224">
        <f t="shared" si="182"/>
        <v>19.44</v>
      </c>
      <c r="V224">
        <f t="shared" si="183"/>
        <v>0</v>
      </c>
      <c r="W224">
        <f t="shared" si="184"/>
        <v>0</v>
      </c>
      <c r="X224">
        <f t="shared" si="185"/>
        <v>2751.5</v>
      </c>
      <c r="Y224">
        <f t="shared" si="185"/>
        <v>1600.9</v>
      </c>
      <c r="AA224">
        <v>42253831</v>
      </c>
      <c r="AB224">
        <f t="shared" si="186"/>
        <v>31.33</v>
      </c>
      <c r="AC224">
        <f t="shared" si="187"/>
        <v>0</v>
      </c>
      <c r="AD224">
        <f t="shared" si="188"/>
        <v>0</v>
      </c>
      <c r="AE224">
        <f t="shared" si="189"/>
        <v>0</v>
      </c>
      <c r="AF224">
        <f t="shared" si="189"/>
        <v>31.33</v>
      </c>
      <c r="AG224">
        <f t="shared" si="190"/>
        <v>0</v>
      </c>
      <c r="AH224">
        <f t="shared" si="191"/>
        <v>2.43</v>
      </c>
      <c r="AI224">
        <f t="shared" si="191"/>
        <v>0</v>
      </c>
      <c r="AJ224">
        <f t="shared" si="192"/>
        <v>0</v>
      </c>
      <c r="AK224">
        <v>31.33</v>
      </c>
      <c r="AL224">
        <v>0</v>
      </c>
      <c r="AM224">
        <v>0</v>
      </c>
      <c r="AN224">
        <v>0</v>
      </c>
      <c r="AO224">
        <v>31.33</v>
      </c>
      <c r="AP224">
        <v>0</v>
      </c>
      <c r="AQ224">
        <v>2.43</v>
      </c>
      <c r="AR224">
        <v>0</v>
      </c>
      <c r="AS224">
        <v>0</v>
      </c>
      <c r="AT224">
        <v>55</v>
      </c>
      <c r="AU224">
        <v>32</v>
      </c>
      <c r="AV224">
        <v>1</v>
      </c>
      <c r="AW224">
        <v>1</v>
      </c>
      <c r="AZ224">
        <v>1</v>
      </c>
      <c r="BA224">
        <v>19.96</v>
      </c>
      <c r="BB224">
        <v>19.96</v>
      </c>
      <c r="BC224">
        <v>19.96</v>
      </c>
      <c r="BH224">
        <v>0</v>
      </c>
      <c r="BI224">
        <v>4</v>
      </c>
      <c r="BJ224" t="s">
        <v>334</v>
      </c>
      <c r="BM224">
        <v>200001</v>
      </c>
      <c r="BN224">
        <v>0</v>
      </c>
      <c r="BO224" t="s">
        <v>27</v>
      </c>
      <c r="BP224">
        <v>1</v>
      </c>
      <c r="BQ224">
        <v>4</v>
      </c>
      <c r="BR224">
        <v>0</v>
      </c>
      <c r="BS224">
        <v>19.96</v>
      </c>
      <c r="BT224">
        <v>1</v>
      </c>
      <c r="BU224">
        <v>1</v>
      </c>
      <c r="BV224">
        <v>1</v>
      </c>
      <c r="BW224">
        <v>1</v>
      </c>
      <c r="BX224">
        <v>1</v>
      </c>
      <c r="BZ224">
        <v>65</v>
      </c>
      <c r="CA224">
        <v>40</v>
      </c>
      <c r="CF224">
        <v>0</v>
      </c>
      <c r="CG224">
        <v>0</v>
      </c>
      <c r="CM224">
        <v>0</v>
      </c>
      <c r="CO224">
        <v>0</v>
      </c>
      <c r="CP224">
        <f t="shared" si="193"/>
        <v>5002.8</v>
      </c>
      <c r="CQ224">
        <f t="shared" si="194"/>
        <v>0</v>
      </c>
      <c r="CR224">
        <f t="shared" si="195"/>
        <v>0</v>
      </c>
      <c r="CS224">
        <f t="shared" si="196"/>
        <v>0</v>
      </c>
      <c r="CT224">
        <f t="shared" si="197"/>
        <v>625.3468</v>
      </c>
      <c r="CU224">
        <f t="shared" si="198"/>
        <v>0</v>
      </c>
      <c r="CV224">
        <f t="shared" si="198"/>
        <v>2.43</v>
      </c>
      <c r="CW224">
        <f t="shared" si="198"/>
        <v>0</v>
      </c>
      <c r="CX224">
        <f t="shared" si="198"/>
        <v>0</v>
      </c>
      <c r="CY224">
        <f t="shared" si="199"/>
        <v>2751.54</v>
      </c>
      <c r="CZ224">
        <f t="shared" si="200"/>
        <v>1600.896</v>
      </c>
      <c r="DN224">
        <v>0</v>
      </c>
      <c r="DO224">
        <v>0</v>
      </c>
      <c r="DP224">
        <v>1</v>
      </c>
      <c r="DQ224">
        <v>1</v>
      </c>
      <c r="DU224">
        <v>1013</v>
      </c>
      <c r="DV224" t="s">
        <v>325</v>
      </c>
      <c r="DW224" t="s">
        <v>325</v>
      </c>
      <c r="DX224">
        <v>1</v>
      </c>
      <c r="EE224">
        <v>39125296</v>
      </c>
      <c r="EF224">
        <v>4</v>
      </c>
      <c r="EG224" t="s">
        <v>319</v>
      </c>
      <c r="EH224">
        <v>0</v>
      </c>
      <c r="EJ224">
        <v>4</v>
      </c>
      <c r="EK224">
        <v>200001</v>
      </c>
      <c r="EL224" t="s">
        <v>320</v>
      </c>
      <c r="EM224" t="s">
        <v>321</v>
      </c>
      <c r="EQ224">
        <v>0</v>
      </c>
      <c r="ER224">
        <v>31.33</v>
      </c>
      <c r="ES224">
        <v>0</v>
      </c>
      <c r="ET224">
        <v>0</v>
      </c>
      <c r="EU224">
        <v>0</v>
      </c>
      <c r="EV224">
        <v>31.33</v>
      </c>
      <c r="EW224">
        <v>2.43</v>
      </c>
      <c r="EX224">
        <v>0</v>
      </c>
      <c r="EY224">
        <v>0</v>
      </c>
      <c r="FQ224">
        <v>0</v>
      </c>
      <c r="FR224">
        <f t="shared" si="201"/>
        <v>0</v>
      </c>
      <c r="FS224">
        <v>0</v>
      </c>
      <c r="FV224" t="s">
        <v>31</v>
      </c>
      <c r="FW224" t="s">
        <v>32</v>
      </c>
      <c r="FX224">
        <v>65</v>
      </c>
      <c r="FY224">
        <v>40</v>
      </c>
      <c r="GD224">
        <v>0</v>
      </c>
      <c r="GF224">
        <v>-1161458838</v>
      </c>
      <c r="GG224">
        <v>2</v>
      </c>
      <c r="GH224">
        <v>1</v>
      </c>
      <c r="GI224">
        <v>4</v>
      </c>
      <c r="GJ224">
        <v>0</v>
      </c>
      <c r="GK224">
        <f>ROUND(R224*(R12)/100,1)</f>
        <v>0</v>
      </c>
      <c r="GL224">
        <f t="shared" si="202"/>
        <v>0</v>
      </c>
      <c r="GM224">
        <f t="shared" si="203"/>
        <v>9355.2</v>
      </c>
      <c r="GN224">
        <f t="shared" si="204"/>
        <v>0</v>
      </c>
      <c r="GO224">
        <f t="shared" si="205"/>
        <v>0</v>
      </c>
      <c r="GP224">
        <f t="shared" si="206"/>
        <v>9355.2</v>
      </c>
      <c r="GR224">
        <v>0</v>
      </c>
      <c r="GS224">
        <v>3</v>
      </c>
      <c r="GT224">
        <v>0</v>
      </c>
      <c r="GV224">
        <f t="shared" si="207"/>
        <v>0</v>
      </c>
      <c r="GW224">
        <v>19.96</v>
      </c>
      <c r="GX224">
        <f t="shared" si="208"/>
        <v>0</v>
      </c>
      <c r="HA224">
        <v>0</v>
      </c>
      <c r="HB224">
        <v>0</v>
      </c>
      <c r="IK224">
        <v>0</v>
      </c>
    </row>
    <row r="225" spans="1:245" ht="12.75">
      <c r="A225">
        <v>17</v>
      </c>
      <c r="B225">
        <v>1</v>
      </c>
      <c r="C225">
        <f>ROW(SmtRes!A205)</f>
        <v>205</v>
      </c>
      <c r="D225">
        <f>ROW(EtalonRes!A206)</f>
        <v>206</v>
      </c>
      <c r="E225" t="s">
        <v>335</v>
      </c>
      <c r="F225" t="s">
        <v>336</v>
      </c>
      <c r="G225" t="s">
        <v>337</v>
      </c>
      <c r="H225" t="s">
        <v>325</v>
      </c>
      <c r="I225">
        <f>ROUND(8,3)</f>
        <v>8</v>
      </c>
      <c r="J225">
        <v>0</v>
      </c>
      <c r="O225">
        <f t="shared" si="176"/>
        <v>3334.1</v>
      </c>
      <c r="P225">
        <f t="shared" si="177"/>
        <v>0</v>
      </c>
      <c r="Q225">
        <f t="shared" si="178"/>
        <v>0</v>
      </c>
      <c r="R225">
        <f t="shared" si="179"/>
        <v>0</v>
      </c>
      <c r="S225">
        <f t="shared" si="180"/>
        <v>3334.1</v>
      </c>
      <c r="T225">
        <f t="shared" si="181"/>
        <v>0</v>
      </c>
      <c r="U225">
        <f t="shared" si="182"/>
        <v>12.96</v>
      </c>
      <c r="V225">
        <f t="shared" si="183"/>
        <v>0</v>
      </c>
      <c r="W225">
        <f t="shared" si="184"/>
        <v>0</v>
      </c>
      <c r="X225">
        <f t="shared" si="185"/>
        <v>1833.8</v>
      </c>
      <c r="Y225">
        <f t="shared" si="185"/>
        <v>1066.9</v>
      </c>
      <c r="AA225">
        <v>42253831</v>
      </c>
      <c r="AB225">
        <f t="shared" si="186"/>
        <v>20.88</v>
      </c>
      <c r="AC225">
        <f t="shared" si="187"/>
        <v>0</v>
      </c>
      <c r="AD225">
        <f t="shared" si="188"/>
        <v>0</v>
      </c>
      <c r="AE225">
        <f t="shared" si="189"/>
        <v>0</v>
      </c>
      <c r="AF225">
        <f t="shared" si="189"/>
        <v>20.88</v>
      </c>
      <c r="AG225">
        <f t="shared" si="190"/>
        <v>0</v>
      </c>
      <c r="AH225">
        <f t="shared" si="191"/>
        <v>1.62</v>
      </c>
      <c r="AI225">
        <f t="shared" si="191"/>
        <v>0</v>
      </c>
      <c r="AJ225">
        <f t="shared" si="192"/>
        <v>0</v>
      </c>
      <c r="AK225">
        <v>20.88</v>
      </c>
      <c r="AL225">
        <v>0</v>
      </c>
      <c r="AM225">
        <v>0</v>
      </c>
      <c r="AN225">
        <v>0</v>
      </c>
      <c r="AO225">
        <v>20.88</v>
      </c>
      <c r="AP225">
        <v>0</v>
      </c>
      <c r="AQ225">
        <v>1.62</v>
      </c>
      <c r="AR225">
        <v>0</v>
      </c>
      <c r="AS225">
        <v>0</v>
      </c>
      <c r="AT225">
        <v>55</v>
      </c>
      <c r="AU225">
        <v>32</v>
      </c>
      <c r="AV225">
        <v>1</v>
      </c>
      <c r="AW225">
        <v>1</v>
      </c>
      <c r="AZ225">
        <v>1</v>
      </c>
      <c r="BA225">
        <v>19.96</v>
      </c>
      <c r="BB225">
        <v>19.96</v>
      </c>
      <c r="BC225">
        <v>19.96</v>
      </c>
      <c r="BH225">
        <v>0</v>
      </c>
      <c r="BI225">
        <v>4</v>
      </c>
      <c r="BJ225" t="s">
        <v>338</v>
      </c>
      <c r="BM225">
        <v>200001</v>
      </c>
      <c r="BN225">
        <v>0</v>
      </c>
      <c r="BO225" t="s">
        <v>27</v>
      </c>
      <c r="BP225">
        <v>1</v>
      </c>
      <c r="BQ225">
        <v>4</v>
      </c>
      <c r="BR225">
        <v>0</v>
      </c>
      <c r="BS225">
        <v>19.96</v>
      </c>
      <c r="BT225">
        <v>1</v>
      </c>
      <c r="BU225">
        <v>1</v>
      </c>
      <c r="BV225">
        <v>1</v>
      </c>
      <c r="BW225">
        <v>1</v>
      </c>
      <c r="BX225">
        <v>1</v>
      </c>
      <c r="BZ225">
        <v>65</v>
      </c>
      <c r="CA225">
        <v>40</v>
      </c>
      <c r="CF225">
        <v>0</v>
      </c>
      <c r="CG225">
        <v>0</v>
      </c>
      <c r="CM225">
        <v>0</v>
      </c>
      <c r="CO225">
        <v>0</v>
      </c>
      <c r="CP225">
        <f t="shared" si="193"/>
        <v>3334.1</v>
      </c>
      <c r="CQ225">
        <f t="shared" si="194"/>
        <v>0</v>
      </c>
      <c r="CR225">
        <f t="shared" si="195"/>
        <v>0</v>
      </c>
      <c r="CS225">
        <f t="shared" si="196"/>
        <v>0</v>
      </c>
      <c r="CT225">
        <f t="shared" si="197"/>
        <v>416.7648</v>
      </c>
      <c r="CU225">
        <f t="shared" si="198"/>
        <v>0</v>
      </c>
      <c r="CV225">
        <f t="shared" si="198"/>
        <v>1.62</v>
      </c>
      <c r="CW225">
        <f t="shared" si="198"/>
        <v>0</v>
      </c>
      <c r="CX225">
        <f t="shared" si="198"/>
        <v>0</v>
      </c>
      <c r="CY225">
        <f t="shared" si="199"/>
        <v>1833.755</v>
      </c>
      <c r="CZ225">
        <f t="shared" si="200"/>
        <v>1066.912</v>
      </c>
      <c r="DN225">
        <v>0</v>
      </c>
      <c r="DO225">
        <v>0</v>
      </c>
      <c r="DP225">
        <v>1</v>
      </c>
      <c r="DQ225">
        <v>1</v>
      </c>
      <c r="DU225">
        <v>1013</v>
      </c>
      <c r="DV225" t="s">
        <v>325</v>
      </c>
      <c r="DW225" t="s">
        <v>325</v>
      </c>
      <c r="DX225">
        <v>1</v>
      </c>
      <c r="EE225">
        <v>39125296</v>
      </c>
      <c r="EF225">
        <v>4</v>
      </c>
      <c r="EG225" t="s">
        <v>319</v>
      </c>
      <c r="EH225">
        <v>0</v>
      </c>
      <c r="EJ225">
        <v>4</v>
      </c>
      <c r="EK225">
        <v>200001</v>
      </c>
      <c r="EL225" t="s">
        <v>320</v>
      </c>
      <c r="EM225" t="s">
        <v>321</v>
      </c>
      <c r="EQ225">
        <v>0</v>
      </c>
      <c r="ER225">
        <v>20.88</v>
      </c>
      <c r="ES225">
        <v>0</v>
      </c>
      <c r="ET225">
        <v>0</v>
      </c>
      <c r="EU225">
        <v>0</v>
      </c>
      <c r="EV225">
        <v>20.88</v>
      </c>
      <c r="EW225">
        <v>1.62</v>
      </c>
      <c r="EX225">
        <v>0</v>
      </c>
      <c r="EY225">
        <v>0</v>
      </c>
      <c r="FQ225">
        <v>0</v>
      </c>
      <c r="FR225">
        <f t="shared" si="201"/>
        <v>0</v>
      </c>
      <c r="FS225">
        <v>0</v>
      </c>
      <c r="FV225" t="s">
        <v>31</v>
      </c>
      <c r="FW225" t="s">
        <v>32</v>
      </c>
      <c r="FX225">
        <v>65</v>
      </c>
      <c r="FY225">
        <v>40</v>
      </c>
      <c r="GD225">
        <v>0</v>
      </c>
      <c r="GF225">
        <v>1191639412</v>
      </c>
      <c r="GG225">
        <v>2</v>
      </c>
      <c r="GH225">
        <v>1</v>
      </c>
      <c r="GI225">
        <v>4</v>
      </c>
      <c r="GJ225">
        <v>0</v>
      </c>
      <c r="GK225">
        <f>ROUND(R225*(R12)/100,1)</f>
        <v>0</v>
      </c>
      <c r="GL225">
        <f t="shared" si="202"/>
        <v>0</v>
      </c>
      <c r="GM225">
        <f t="shared" si="203"/>
        <v>6234.8</v>
      </c>
      <c r="GN225">
        <f t="shared" si="204"/>
        <v>0</v>
      </c>
      <c r="GO225">
        <f t="shared" si="205"/>
        <v>0</v>
      </c>
      <c r="GP225">
        <f t="shared" si="206"/>
        <v>6234.8</v>
      </c>
      <c r="GR225">
        <v>0</v>
      </c>
      <c r="GS225">
        <v>3</v>
      </c>
      <c r="GT225">
        <v>0</v>
      </c>
      <c r="GV225">
        <f t="shared" si="207"/>
        <v>0</v>
      </c>
      <c r="GW225">
        <v>19.96</v>
      </c>
      <c r="GX225">
        <f t="shared" si="208"/>
        <v>0</v>
      </c>
      <c r="HA225">
        <v>0</v>
      </c>
      <c r="HB225">
        <v>0</v>
      </c>
      <c r="IK225">
        <v>0</v>
      </c>
    </row>
    <row r="226" spans="1:245" ht="12.75">
      <c r="A226">
        <v>17</v>
      </c>
      <c r="B226">
        <v>1</v>
      </c>
      <c r="C226">
        <f>ROW(SmtRes!A207)</f>
        <v>207</v>
      </c>
      <c r="D226">
        <f>ROW(EtalonRes!A208)</f>
        <v>208</v>
      </c>
      <c r="E226" t="s">
        <v>339</v>
      </c>
      <c r="F226" t="s">
        <v>340</v>
      </c>
      <c r="G226" t="s">
        <v>341</v>
      </c>
      <c r="H226" t="s">
        <v>153</v>
      </c>
      <c r="I226">
        <f>ROUND(2,3)</f>
        <v>2</v>
      </c>
      <c r="J226">
        <v>0</v>
      </c>
      <c r="O226">
        <f t="shared" si="176"/>
        <v>5400.4</v>
      </c>
      <c r="P226">
        <f t="shared" si="177"/>
        <v>0</v>
      </c>
      <c r="Q226">
        <f t="shared" si="178"/>
        <v>0</v>
      </c>
      <c r="R226">
        <f t="shared" si="179"/>
        <v>0</v>
      </c>
      <c r="S226">
        <f t="shared" si="180"/>
        <v>5400.4</v>
      </c>
      <c r="T226">
        <f t="shared" si="181"/>
        <v>0</v>
      </c>
      <c r="U226">
        <f t="shared" si="182"/>
        <v>28.8</v>
      </c>
      <c r="V226">
        <f t="shared" si="183"/>
        <v>0</v>
      </c>
      <c r="W226">
        <f t="shared" si="184"/>
        <v>0</v>
      </c>
      <c r="X226">
        <f t="shared" si="185"/>
        <v>2970.2</v>
      </c>
      <c r="Y226">
        <f t="shared" si="185"/>
        <v>1728.1</v>
      </c>
      <c r="AA226">
        <v>42253831</v>
      </c>
      <c r="AB226">
        <f t="shared" si="186"/>
        <v>135.28</v>
      </c>
      <c r="AC226">
        <f t="shared" si="187"/>
        <v>0</v>
      </c>
      <c r="AD226">
        <f t="shared" si="188"/>
        <v>0</v>
      </c>
      <c r="AE226">
        <f t="shared" si="189"/>
        <v>0</v>
      </c>
      <c r="AF226">
        <f t="shared" si="189"/>
        <v>135.28</v>
      </c>
      <c r="AG226">
        <f t="shared" si="190"/>
        <v>0</v>
      </c>
      <c r="AH226">
        <f t="shared" si="191"/>
        <v>14.4</v>
      </c>
      <c r="AI226">
        <f t="shared" si="191"/>
        <v>0</v>
      </c>
      <c r="AJ226">
        <f t="shared" si="192"/>
        <v>0</v>
      </c>
      <c r="AK226">
        <v>135.28</v>
      </c>
      <c r="AL226">
        <v>0</v>
      </c>
      <c r="AM226">
        <v>0</v>
      </c>
      <c r="AN226">
        <v>0</v>
      </c>
      <c r="AO226">
        <v>135.28</v>
      </c>
      <c r="AP226">
        <v>0</v>
      </c>
      <c r="AQ226">
        <v>14.4</v>
      </c>
      <c r="AR226">
        <v>0</v>
      </c>
      <c r="AS226">
        <v>0</v>
      </c>
      <c r="AT226">
        <v>55</v>
      </c>
      <c r="AU226">
        <v>32</v>
      </c>
      <c r="AV226">
        <v>1</v>
      </c>
      <c r="AW226">
        <v>1</v>
      </c>
      <c r="AZ226">
        <v>1</v>
      </c>
      <c r="BA226">
        <v>19.96</v>
      </c>
      <c r="BB226">
        <v>19.96</v>
      </c>
      <c r="BC226">
        <v>19.96</v>
      </c>
      <c r="BH226">
        <v>0</v>
      </c>
      <c r="BI226">
        <v>4</v>
      </c>
      <c r="BJ226" t="s">
        <v>342</v>
      </c>
      <c r="BM226">
        <v>200001</v>
      </c>
      <c r="BN226">
        <v>0</v>
      </c>
      <c r="BO226" t="s">
        <v>27</v>
      </c>
      <c r="BP226">
        <v>1</v>
      </c>
      <c r="BQ226">
        <v>4</v>
      </c>
      <c r="BR226">
        <v>0</v>
      </c>
      <c r="BS226">
        <v>19.96</v>
      </c>
      <c r="BT226">
        <v>1</v>
      </c>
      <c r="BU226">
        <v>1</v>
      </c>
      <c r="BV226">
        <v>1</v>
      </c>
      <c r="BW226">
        <v>1</v>
      </c>
      <c r="BX226">
        <v>1</v>
      </c>
      <c r="BZ226">
        <v>65</v>
      </c>
      <c r="CA226">
        <v>40</v>
      </c>
      <c r="CF226">
        <v>0</v>
      </c>
      <c r="CG226">
        <v>0</v>
      </c>
      <c r="CM226">
        <v>0</v>
      </c>
      <c r="CO226">
        <v>0</v>
      </c>
      <c r="CP226">
        <f t="shared" si="193"/>
        <v>5400.4</v>
      </c>
      <c r="CQ226">
        <f t="shared" si="194"/>
        <v>0</v>
      </c>
      <c r="CR226">
        <f t="shared" si="195"/>
        <v>0</v>
      </c>
      <c r="CS226">
        <f t="shared" si="196"/>
        <v>0</v>
      </c>
      <c r="CT226">
        <f t="shared" si="197"/>
        <v>2700.1888000000004</v>
      </c>
      <c r="CU226">
        <f t="shared" si="198"/>
        <v>0</v>
      </c>
      <c r="CV226">
        <f t="shared" si="198"/>
        <v>14.4</v>
      </c>
      <c r="CW226">
        <f t="shared" si="198"/>
        <v>0</v>
      </c>
      <c r="CX226">
        <f t="shared" si="198"/>
        <v>0</v>
      </c>
      <c r="CY226">
        <f t="shared" si="199"/>
        <v>2970.22</v>
      </c>
      <c r="CZ226">
        <f t="shared" si="200"/>
        <v>1728.128</v>
      </c>
      <c r="DN226">
        <v>0</v>
      </c>
      <c r="DO226">
        <v>0</v>
      </c>
      <c r="DP226">
        <v>1</v>
      </c>
      <c r="DQ226">
        <v>1</v>
      </c>
      <c r="DU226">
        <v>1013</v>
      </c>
      <c r="DV226" t="s">
        <v>153</v>
      </c>
      <c r="DW226" t="s">
        <v>153</v>
      </c>
      <c r="DX226">
        <v>1</v>
      </c>
      <c r="EE226">
        <v>39125296</v>
      </c>
      <c r="EF226">
        <v>4</v>
      </c>
      <c r="EG226" t="s">
        <v>319</v>
      </c>
      <c r="EH226">
        <v>0</v>
      </c>
      <c r="EJ226">
        <v>4</v>
      </c>
      <c r="EK226">
        <v>200001</v>
      </c>
      <c r="EL226" t="s">
        <v>320</v>
      </c>
      <c r="EM226" t="s">
        <v>321</v>
      </c>
      <c r="EQ226">
        <v>0</v>
      </c>
      <c r="ER226">
        <v>135.28</v>
      </c>
      <c r="ES226">
        <v>0</v>
      </c>
      <c r="ET226">
        <v>0</v>
      </c>
      <c r="EU226">
        <v>0</v>
      </c>
      <c r="EV226">
        <v>135.28</v>
      </c>
      <c r="EW226">
        <v>14.4</v>
      </c>
      <c r="EX226">
        <v>0</v>
      </c>
      <c r="EY226">
        <v>0</v>
      </c>
      <c r="FQ226">
        <v>0</v>
      </c>
      <c r="FR226">
        <f t="shared" si="201"/>
        <v>0</v>
      </c>
      <c r="FS226">
        <v>0</v>
      </c>
      <c r="FV226" t="s">
        <v>31</v>
      </c>
      <c r="FW226" t="s">
        <v>32</v>
      </c>
      <c r="FX226">
        <v>65</v>
      </c>
      <c r="FY226">
        <v>40</v>
      </c>
      <c r="GD226">
        <v>0</v>
      </c>
      <c r="GF226">
        <v>-1146524542</v>
      </c>
      <c r="GG226">
        <v>2</v>
      </c>
      <c r="GH226">
        <v>1</v>
      </c>
      <c r="GI226">
        <v>4</v>
      </c>
      <c r="GJ226">
        <v>0</v>
      </c>
      <c r="GK226">
        <f>ROUND(R226*(R12)/100,1)</f>
        <v>0</v>
      </c>
      <c r="GL226">
        <f t="shared" si="202"/>
        <v>0</v>
      </c>
      <c r="GM226">
        <f t="shared" si="203"/>
        <v>10098.7</v>
      </c>
      <c r="GN226">
        <f t="shared" si="204"/>
        <v>0</v>
      </c>
      <c r="GO226">
        <f t="shared" si="205"/>
        <v>0</v>
      </c>
      <c r="GP226">
        <f t="shared" si="206"/>
        <v>10098.7</v>
      </c>
      <c r="GR226">
        <v>0</v>
      </c>
      <c r="GS226">
        <v>3</v>
      </c>
      <c r="GT226">
        <v>0</v>
      </c>
      <c r="GV226">
        <f t="shared" si="207"/>
        <v>0</v>
      </c>
      <c r="GW226">
        <v>19.96</v>
      </c>
      <c r="GX226">
        <f t="shared" si="208"/>
        <v>0</v>
      </c>
      <c r="HA226">
        <v>0</v>
      </c>
      <c r="HB226">
        <v>0</v>
      </c>
      <c r="IK226">
        <v>0</v>
      </c>
    </row>
    <row r="228" spans="1:206" ht="12.75">
      <c r="A228" s="2">
        <v>51</v>
      </c>
      <c r="B228" s="2">
        <f>B217</f>
        <v>1</v>
      </c>
      <c r="C228" s="2">
        <f>A217</f>
        <v>4</v>
      </c>
      <c r="D228" s="2">
        <f>ROW(A217)</f>
        <v>217</v>
      </c>
      <c r="E228" s="2"/>
      <c r="F228" s="2" t="str">
        <f>IF(F217&lt;&gt;"",F217,"")</f>
        <v>Новый раздел</v>
      </c>
      <c r="G228" s="2" t="str">
        <f>IF(G217&lt;&gt;"",G217,"")</f>
        <v>Пусконаладочные работы. Измерение</v>
      </c>
      <c r="H228" s="2">
        <v>0</v>
      </c>
      <c r="I228" s="2"/>
      <c r="J228" s="2"/>
      <c r="K228" s="2"/>
      <c r="L228" s="2"/>
      <c r="M228" s="2"/>
      <c r="N228" s="2"/>
      <c r="O228" s="2">
        <f aca="true" t="shared" si="209" ref="O228:T228">ROUND(AB228,1)</f>
        <v>24258.9</v>
      </c>
      <c r="P228" s="2">
        <f t="shared" si="209"/>
        <v>0</v>
      </c>
      <c r="Q228" s="2">
        <f t="shared" si="209"/>
        <v>0</v>
      </c>
      <c r="R228" s="2">
        <f t="shared" si="209"/>
        <v>0</v>
      </c>
      <c r="S228" s="2">
        <f t="shared" si="209"/>
        <v>24258.9</v>
      </c>
      <c r="T228" s="2">
        <f t="shared" si="209"/>
        <v>0</v>
      </c>
      <c r="U228" s="2">
        <f>AH228</f>
        <v>103.58999999999999</v>
      </c>
      <c r="V228" s="2">
        <f>AI228</f>
        <v>0</v>
      </c>
      <c r="W228" s="2">
        <f>ROUND(AJ228,1)</f>
        <v>0</v>
      </c>
      <c r="X228" s="2">
        <f>ROUND(AK228,1)</f>
        <v>13342.3</v>
      </c>
      <c r="Y228" s="2">
        <f>ROUND(AL228,1)</f>
        <v>7762.9</v>
      </c>
      <c r="Z228" s="2"/>
      <c r="AA228" s="2"/>
      <c r="AB228" s="2">
        <f>ROUND(SUMIF(AA221:AA226,"=42253831",O221:O226),1)</f>
        <v>24258.9</v>
      </c>
      <c r="AC228" s="2">
        <f>ROUND(SUMIF(AA221:AA226,"=42253831",P221:P226),1)</f>
        <v>0</v>
      </c>
      <c r="AD228" s="2">
        <f>ROUND(SUMIF(AA221:AA226,"=42253831",Q221:Q226),1)</f>
        <v>0</v>
      </c>
      <c r="AE228" s="2">
        <f>ROUND(SUMIF(AA221:AA226,"=42253831",R221:R226),1)</f>
        <v>0</v>
      </c>
      <c r="AF228" s="2">
        <f>ROUND(SUMIF(AA221:AA226,"=42253831",S221:S226),1)</f>
        <v>24258.9</v>
      </c>
      <c r="AG228" s="2">
        <f>ROUND(SUMIF(AA221:AA226,"=42253831",T221:T226),1)</f>
        <v>0</v>
      </c>
      <c r="AH228" s="2">
        <f>SUMIF(AA221:AA226,"=42253831",U221:U226)</f>
        <v>103.58999999999999</v>
      </c>
      <c r="AI228" s="2">
        <f>SUMIF(AA221:AA226,"=42253831",V221:V226)</f>
        <v>0</v>
      </c>
      <c r="AJ228" s="2">
        <f>ROUND(SUMIF(AA221:AA226,"=42253831",W221:W226),1)</f>
        <v>0</v>
      </c>
      <c r="AK228" s="2">
        <f>ROUND(SUMIF(AA221:AA226,"=42253831",X221:X226),1)</f>
        <v>13342.3</v>
      </c>
      <c r="AL228" s="2">
        <f>ROUND(SUMIF(AA221:AA226,"=42253831",Y221:Y226),1)</f>
        <v>7762.9</v>
      </c>
      <c r="AM228" s="2"/>
      <c r="AN228" s="2"/>
      <c r="AO228" s="2">
        <f aca="true" t="shared" si="210" ref="AO228:BC228">ROUND(BX228,1)</f>
        <v>0</v>
      </c>
      <c r="AP228" s="2">
        <f t="shared" si="210"/>
        <v>0</v>
      </c>
      <c r="AQ228" s="2">
        <f t="shared" si="210"/>
        <v>0</v>
      </c>
      <c r="AR228" s="2">
        <f t="shared" si="210"/>
        <v>45364.1</v>
      </c>
      <c r="AS228" s="2">
        <f t="shared" si="210"/>
        <v>0</v>
      </c>
      <c r="AT228" s="2">
        <f t="shared" si="210"/>
        <v>0</v>
      </c>
      <c r="AU228" s="2">
        <f t="shared" si="210"/>
        <v>45364.1</v>
      </c>
      <c r="AV228" s="2">
        <f t="shared" si="210"/>
        <v>0</v>
      </c>
      <c r="AW228" s="2">
        <f t="shared" si="210"/>
        <v>0</v>
      </c>
      <c r="AX228" s="2">
        <f t="shared" si="210"/>
        <v>0</v>
      </c>
      <c r="AY228" s="2">
        <f t="shared" si="210"/>
        <v>0</v>
      </c>
      <c r="AZ228" s="2">
        <f t="shared" si="210"/>
        <v>0</v>
      </c>
      <c r="BA228" s="2">
        <f t="shared" si="210"/>
        <v>0</v>
      </c>
      <c r="BB228" s="2">
        <f t="shared" si="210"/>
        <v>0</v>
      </c>
      <c r="BC228" s="2">
        <f t="shared" si="210"/>
        <v>0</v>
      </c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>
        <f>ROUND(SUMIF(AA221:AA226,"=42253831",FQ221:FQ226),1)</f>
        <v>0</v>
      </c>
      <c r="BY228" s="2">
        <f>ROUND(SUMIF(AA221:AA226,"=42253831",FR221:FR226),1)</f>
        <v>0</v>
      </c>
      <c r="BZ228" s="2">
        <f>ROUND(SUMIF(AA221:AA226,"=42253831",GL221:GL226),1)</f>
        <v>0</v>
      </c>
      <c r="CA228" s="2">
        <f>ROUND(SUMIF(AA221:AA226,"=42253831",GM221:GM226),1)</f>
        <v>45364.1</v>
      </c>
      <c r="CB228" s="2">
        <f>ROUND(SUMIF(AA221:AA226,"=42253831",GN221:GN226),1)</f>
        <v>0</v>
      </c>
      <c r="CC228" s="2">
        <f>ROUND(SUMIF(AA221:AA226,"=42253831",GO221:GO226),1)</f>
        <v>0</v>
      </c>
      <c r="CD228" s="2">
        <f>ROUND(SUMIF(AA221:AA226,"=42253831",GP221:GP226),1)</f>
        <v>45364.1</v>
      </c>
      <c r="CE228" s="2">
        <f>AC228-BX228</f>
        <v>0</v>
      </c>
      <c r="CF228" s="2">
        <f>AC228-BY228</f>
        <v>0</v>
      </c>
      <c r="CG228" s="2">
        <f>BX228-BZ228</f>
        <v>0</v>
      </c>
      <c r="CH228" s="2">
        <f>AC228-BX228-BY228+BZ228</f>
        <v>0</v>
      </c>
      <c r="CI228" s="2">
        <f>BY228-BZ228</f>
        <v>0</v>
      </c>
      <c r="CJ228" s="2">
        <f>ROUND(SUMIF(AA221:AA226,"=42253831",GX221:GX226),1)</f>
        <v>0</v>
      </c>
      <c r="CK228" s="2">
        <f>ROUND(SUMIF(AA221:AA226,"=42253831",GY221:GY226),1)</f>
        <v>0</v>
      </c>
      <c r="CL228" s="2">
        <f>ROUND(SUMIF(AA221:AA226,"=42253831",GZ221:GZ226),1)</f>
        <v>0</v>
      </c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>
        <v>0</v>
      </c>
    </row>
    <row r="230" spans="1:23" ht="12.75">
      <c r="A230" s="4">
        <v>50</v>
      </c>
      <c r="B230" s="4">
        <v>1</v>
      </c>
      <c r="C230" s="4">
        <v>0</v>
      </c>
      <c r="D230" s="4">
        <v>1</v>
      </c>
      <c r="E230" s="4">
        <v>201</v>
      </c>
      <c r="F230" s="4">
        <f>ROUND(Source!O228,O230)</f>
        <v>24258.9</v>
      </c>
      <c r="G230" s="4" t="s">
        <v>50</v>
      </c>
      <c r="H230" s="4" t="s">
        <v>51</v>
      </c>
      <c r="I230" s="4"/>
      <c r="J230" s="4"/>
      <c r="K230" s="4">
        <v>201</v>
      </c>
      <c r="L230" s="4">
        <v>1</v>
      </c>
      <c r="M230" s="4">
        <v>0</v>
      </c>
      <c r="N230" s="4" t="s">
        <v>3</v>
      </c>
      <c r="O230" s="4">
        <v>1</v>
      </c>
      <c r="P230" s="4"/>
      <c r="Q230" s="4"/>
      <c r="R230" s="4"/>
      <c r="S230" s="4"/>
      <c r="T230" s="4"/>
      <c r="U230" s="4"/>
      <c r="V230" s="4"/>
      <c r="W230" s="4"/>
    </row>
    <row r="231" spans="1:23" ht="12.75">
      <c r="A231" s="4">
        <v>50</v>
      </c>
      <c r="B231" s="4">
        <v>1</v>
      </c>
      <c r="C231" s="4">
        <v>0</v>
      </c>
      <c r="D231" s="4">
        <v>1</v>
      </c>
      <c r="E231" s="4">
        <v>202</v>
      </c>
      <c r="F231" s="4">
        <f>ROUND(Source!P228,O231)</f>
        <v>0</v>
      </c>
      <c r="G231" s="4" t="s">
        <v>52</v>
      </c>
      <c r="H231" s="4" t="s">
        <v>53</v>
      </c>
      <c r="I231" s="4"/>
      <c r="J231" s="4"/>
      <c r="K231" s="4">
        <v>202</v>
      </c>
      <c r="L231" s="4">
        <v>2</v>
      </c>
      <c r="M231" s="4">
        <v>0</v>
      </c>
      <c r="N231" s="4" t="s">
        <v>3</v>
      </c>
      <c r="O231" s="4">
        <v>1</v>
      </c>
      <c r="P231" s="4"/>
      <c r="Q231" s="4"/>
      <c r="R231" s="4"/>
      <c r="S231" s="4"/>
      <c r="T231" s="4"/>
      <c r="U231" s="4"/>
      <c r="V231" s="4"/>
      <c r="W231" s="4"/>
    </row>
    <row r="232" spans="1:23" ht="12.75">
      <c r="A232" s="4">
        <v>50</v>
      </c>
      <c r="B232" s="4">
        <v>0</v>
      </c>
      <c r="C232" s="4">
        <v>0</v>
      </c>
      <c r="D232" s="4">
        <v>1</v>
      </c>
      <c r="E232" s="4">
        <v>222</v>
      </c>
      <c r="F232" s="4">
        <f>ROUND(Source!AO228,O232)</f>
        <v>0</v>
      </c>
      <c r="G232" s="4" t="s">
        <v>54</v>
      </c>
      <c r="H232" s="4" t="s">
        <v>55</v>
      </c>
      <c r="I232" s="4"/>
      <c r="J232" s="4"/>
      <c r="K232" s="4">
        <v>222</v>
      </c>
      <c r="L232" s="4">
        <v>3</v>
      </c>
      <c r="M232" s="4">
        <v>3</v>
      </c>
      <c r="N232" s="4" t="s">
        <v>3</v>
      </c>
      <c r="O232" s="4">
        <v>1</v>
      </c>
      <c r="P232" s="4"/>
      <c r="Q232" s="4"/>
      <c r="R232" s="4"/>
      <c r="S232" s="4"/>
      <c r="T232" s="4"/>
      <c r="U232" s="4"/>
      <c r="V232" s="4"/>
      <c r="W232" s="4"/>
    </row>
    <row r="233" spans="1:23" ht="12.75">
      <c r="A233" s="4">
        <v>50</v>
      </c>
      <c r="B233" s="4">
        <v>0</v>
      </c>
      <c r="C233" s="4">
        <v>0</v>
      </c>
      <c r="D233" s="4">
        <v>1</v>
      </c>
      <c r="E233" s="4">
        <v>225</v>
      </c>
      <c r="F233" s="4">
        <f>ROUND(Source!AV228,O233)</f>
        <v>0</v>
      </c>
      <c r="G233" s="4" t="s">
        <v>56</v>
      </c>
      <c r="H233" s="4" t="s">
        <v>57</v>
      </c>
      <c r="I233" s="4"/>
      <c r="J233" s="4"/>
      <c r="K233" s="4">
        <v>225</v>
      </c>
      <c r="L233" s="4">
        <v>4</v>
      </c>
      <c r="M233" s="4">
        <v>3</v>
      </c>
      <c r="N233" s="4" t="s">
        <v>3</v>
      </c>
      <c r="O233" s="4">
        <v>1</v>
      </c>
      <c r="P233" s="4"/>
      <c r="Q233" s="4"/>
      <c r="R233" s="4"/>
      <c r="S233" s="4"/>
      <c r="T233" s="4"/>
      <c r="U233" s="4"/>
      <c r="V233" s="4"/>
      <c r="W233" s="4"/>
    </row>
    <row r="234" spans="1:23" ht="12.75">
      <c r="A234" s="4">
        <v>50</v>
      </c>
      <c r="B234" s="4">
        <v>1</v>
      </c>
      <c r="C234" s="4">
        <v>0</v>
      </c>
      <c r="D234" s="4">
        <v>1</v>
      </c>
      <c r="E234" s="4">
        <v>226</v>
      </c>
      <c r="F234" s="4">
        <f>ROUND(Source!AW228,O234)</f>
        <v>0</v>
      </c>
      <c r="G234" s="4" t="s">
        <v>58</v>
      </c>
      <c r="H234" s="4" t="s">
        <v>59</v>
      </c>
      <c r="I234" s="4"/>
      <c r="J234" s="4"/>
      <c r="K234" s="4">
        <v>226</v>
      </c>
      <c r="L234" s="4">
        <v>5</v>
      </c>
      <c r="M234" s="4">
        <v>0</v>
      </c>
      <c r="N234" s="4" t="s">
        <v>3</v>
      </c>
      <c r="O234" s="4">
        <v>1</v>
      </c>
      <c r="P234" s="4"/>
      <c r="Q234" s="4"/>
      <c r="R234" s="4"/>
      <c r="S234" s="4"/>
      <c r="T234" s="4"/>
      <c r="U234" s="4"/>
      <c r="V234" s="4"/>
      <c r="W234" s="4"/>
    </row>
    <row r="235" spans="1:23" ht="12.75">
      <c r="A235" s="4">
        <v>50</v>
      </c>
      <c r="B235" s="4">
        <v>0</v>
      </c>
      <c r="C235" s="4">
        <v>0</v>
      </c>
      <c r="D235" s="4">
        <v>1</v>
      </c>
      <c r="E235" s="4">
        <v>227</v>
      </c>
      <c r="F235" s="4">
        <f>ROUND(Source!AX228,O235)</f>
        <v>0</v>
      </c>
      <c r="G235" s="4" t="s">
        <v>60</v>
      </c>
      <c r="H235" s="4" t="s">
        <v>61</v>
      </c>
      <c r="I235" s="4"/>
      <c r="J235" s="4"/>
      <c r="K235" s="4">
        <v>227</v>
      </c>
      <c r="L235" s="4">
        <v>6</v>
      </c>
      <c r="M235" s="4">
        <v>3</v>
      </c>
      <c r="N235" s="4" t="s">
        <v>3</v>
      </c>
      <c r="O235" s="4">
        <v>1</v>
      </c>
      <c r="P235" s="4"/>
      <c r="Q235" s="4"/>
      <c r="R235" s="4"/>
      <c r="S235" s="4"/>
      <c r="T235" s="4"/>
      <c r="U235" s="4"/>
      <c r="V235" s="4"/>
      <c r="W235" s="4"/>
    </row>
    <row r="236" spans="1:23" ht="12.75">
      <c r="A236" s="4">
        <v>50</v>
      </c>
      <c r="B236" s="4">
        <v>0</v>
      </c>
      <c r="C236" s="4">
        <v>0</v>
      </c>
      <c r="D236" s="4">
        <v>1</v>
      </c>
      <c r="E236" s="4">
        <v>228</v>
      </c>
      <c r="F236" s="4">
        <f>ROUND(Source!AY228,O236)</f>
        <v>0</v>
      </c>
      <c r="G236" s="4" t="s">
        <v>62</v>
      </c>
      <c r="H236" s="4" t="s">
        <v>63</v>
      </c>
      <c r="I236" s="4"/>
      <c r="J236" s="4"/>
      <c r="K236" s="4">
        <v>228</v>
      </c>
      <c r="L236" s="4">
        <v>7</v>
      </c>
      <c r="M236" s="4">
        <v>3</v>
      </c>
      <c r="N236" s="4" t="s">
        <v>3</v>
      </c>
      <c r="O236" s="4">
        <v>1</v>
      </c>
      <c r="P236" s="4"/>
      <c r="Q236" s="4"/>
      <c r="R236" s="4"/>
      <c r="S236" s="4"/>
      <c r="T236" s="4"/>
      <c r="U236" s="4"/>
      <c r="V236" s="4"/>
      <c r="W236" s="4"/>
    </row>
    <row r="237" spans="1:23" ht="12.75">
      <c r="A237" s="4">
        <v>50</v>
      </c>
      <c r="B237" s="4">
        <v>1</v>
      </c>
      <c r="C237" s="4">
        <v>0</v>
      </c>
      <c r="D237" s="4">
        <v>1</v>
      </c>
      <c r="E237" s="4">
        <v>216</v>
      </c>
      <c r="F237" s="4">
        <f>ROUND(Source!AP228,O237)</f>
        <v>0</v>
      </c>
      <c r="G237" s="4" t="s">
        <v>64</v>
      </c>
      <c r="H237" s="4" t="s">
        <v>65</v>
      </c>
      <c r="I237" s="4"/>
      <c r="J237" s="4"/>
      <c r="K237" s="4">
        <v>216</v>
      </c>
      <c r="L237" s="4">
        <v>8</v>
      </c>
      <c r="M237" s="4">
        <v>0</v>
      </c>
      <c r="N237" s="4" t="s">
        <v>3</v>
      </c>
      <c r="O237" s="4">
        <v>1</v>
      </c>
      <c r="P237" s="4"/>
      <c r="Q237" s="4"/>
      <c r="R237" s="4"/>
      <c r="S237" s="4"/>
      <c r="T237" s="4"/>
      <c r="U237" s="4"/>
      <c r="V237" s="4"/>
      <c r="W237" s="4"/>
    </row>
    <row r="238" spans="1:23" ht="12.75">
      <c r="A238" s="4">
        <v>50</v>
      </c>
      <c r="B238" s="4">
        <v>0</v>
      </c>
      <c r="C238" s="4">
        <v>0</v>
      </c>
      <c r="D238" s="4">
        <v>1</v>
      </c>
      <c r="E238" s="4">
        <v>223</v>
      </c>
      <c r="F238" s="4">
        <f>ROUND(Source!AQ228,O238)</f>
        <v>0</v>
      </c>
      <c r="G238" s="4" t="s">
        <v>66</v>
      </c>
      <c r="H238" s="4" t="s">
        <v>67</v>
      </c>
      <c r="I238" s="4"/>
      <c r="J238" s="4"/>
      <c r="K238" s="4">
        <v>223</v>
      </c>
      <c r="L238" s="4">
        <v>9</v>
      </c>
      <c r="M238" s="4">
        <v>3</v>
      </c>
      <c r="N238" s="4" t="s">
        <v>3</v>
      </c>
      <c r="O238" s="4">
        <v>1</v>
      </c>
      <c r="P238" s="4"/>
      <c r="Q238" s="4"/>
      <c r="R238" s="4"/>
      <c r="S238" s="4"/>
      <c r="T238" s="4"/>
      <c r="U238" s="4"/>
      <c r="V238" s="4"/>
      <c r="W238" s="4"/>
    </row>
    <row r="239" spans="1:23" ht="12.75">
      <c r="A239" s="4">
        <v>50</v>
      </c>
      <c r="B239" s="4">
        <v>0</v>
      </c>
      <c r="C239" s="4">
        <v>0</v>
      </c>
      <c r="D239" s="4">
        <v>1</v>
      </c>
      <c r="E239" s="4">
        <v>229</v>
      </c>
      <c r="F239" s="4">
        <f>ROUND(Source!AZ228,O239)</f>
        <v>0</v>
      </c>
      <c r="G239" s="4" t="s">
        <v>68</v>
      </c>
      <c r="H239" s="4" t="s">
        <v>69</v>
      </c>
      <c r="I239" s="4"/>
      <c r="J239" s="4"/>
      <c r="K239" s="4">
        <v>229</v>
      </c>
      <c r="L239" s="4">
        <v>10</v>
      </c>
      <c r="M239" s="4">
        <v>3</v>
      </c>
      <c r="N239" s="4" t="s">
        <v>3</v>
      </c>
      <c r="O239" s="4">
        <v>1</v>
      </c>
      <c r="P239" s="4"/>
      <c r="Q239" s="4"/>
      <c r="R239" s="4"/>
      <c r="S239" s="4"/>
      <c r="T239" s="4"/>
      <c r="U239" s="4"/>
      <c r="V239" s="4"/>
      <c r="W239" s="4"/>
    </row>
    <row r="240" spans="1:23" ht="12.75">
      <c r="A240" s="4">
        <v>50</v>
      </c>
      <c r="B240" s="4">
        <v>1</v>
      </c>
      <c r="C240" s="4">
        <v>0</v>
      </c>
      <c r="D240" s="4">
        <v>1</v>
      </c>
      <c r="E240" s="4">
        <v>203</v>
      </c>
      <c r="F240" s="4">
        <f>ROUND(Source!Q228,O240)</f>
        <v>0</v>
      </c>
      <c r="G240" s="4" t="s">
        <v>70</v>
      </c>
      <c r="H240" s="4" t="s">
        <v>71</v>
      </c>
      <c r="I240" s="4"/>
      <c r="J240" s="4"/>
      <c r="K240" s="4">
        <v>203</v>
      </c>
      <c r="L240" s="4">
        <v>11</v>
      </c>
      <c r="M240" s="4">
        <v>0</v>
      </c>
      <c r="N240" s="4" t="s">
        <v>3</v>
      </c>
      <c r="O240" s="4">
        <v>1</v>
      </c>
      <c r="P240" s="4"/>
      <c r="Q240" s="4"/>
      <c r="R240" s="4"/>
      <c r="S240" s="4"/>
      <c r="T240" s="4"/>
      <c r="U240" s="4"/>
      <c r="V240" s="4"/>
      <c r="W240" s="4"/>
    </row>
    <row r="241" spans="1:23" ht="12.75">
      <c r="A241" s="4">
        <v>50</v>
      </c>
      <c r="B241" s="4">
        <v>0</v>
      </c>
      <c r="C241" s="4">
        <v>0</v>
      </c>
      <c r="D241" s="4">
        <v>1</v>
      </c>
      <c r="E241" s="4">
        <v>231</v>
      </c>
      <c r="F241" s="4">
        <f>ROUND(Source!BB228,O241)</f>
        <v>0</v>
      </c>
      <c r="G241" s="4" t="s">
        <v>72</v>
      </c>
      <c r="H241" s="4" t="s">
        <v>73</v>
      </c>
      <c r="I241" s="4"/>
      <c r="J241" s="4"/>
      <c r="K241" s="4">
        <v>231</v>
      </c>
      <c r="L241" s="4">
        <v>12</v>
      </c>
      <c r="M241" s="4">
        <v>3</v>
      </c>
      <c r="N241" s="4" t="s">
        <v>3</v>
      </c>
      <c r="O241" s="4">
        <v>1</v>
      </c>
      <c r="P241" s="4"/>
      <c r="Q241" s="4"/>
      <c r="R241" s="4"/>
      <c r="S241" s="4"/>
      <c r="T241" s="4"/>
      <c r="U241" s="4"/>
      <c r="V241" s="4"/>
      <c r="W241" s="4"/>
    </row>
    <row r="242" spans="1:23" ht="12.75">
      <c r="A242" s="4">
        <v>50</v>
      </c>
      <c r="B242" s="4">
        <v>1</v>
      </c>
      <c r="C242" s="4">
        <v>0</v>
      </c>
      <c r="D242" s="4">
        <v>1</v>
      </c>
      <c r="E242" s="4">
        <v>204</v>
      </c>
      <c r="F242" s="4">
        <f>ROUND(Source!R228,O242)</f>
        <v>0</v>
      </c>
      <c r="G242" s="4" t="s">
        <v>74</v>
      </c>
      <c r="H242" s="4" t="s">
        <v>75</v>
      </c>
      <c r="I242" s="4"/>
      <c r="J242" s="4"/>
      <c r="K242" s="4">
        <v>204</v>
      </c>
      <c r="L242" s="4">
        <v>13</v>
      </c>
      <c r="M242" s="4">
        <v>0</v>
      </c>
      <c r="N242" s="4" t="s">
        <v>3</v>
      </c>
      <c r="O242" s="4">
        <v>1</v>
      </c>
      <c r="P242" s="4"/>
      <c r="Q242" s="4"/>
      <c r="R242" s="4"/>
      <c r="S242" s="4"/>
      <c r="T242" s="4"/>
      <c r="U242" s="4"/>
      <c r="V242" s="4"/>
      <c r="W242" s="4"/>
    </row>
    <row r="243" spans="1:23" ht="12.75">
      <c r="A243" s="4">
        <v>50</v>
      </c>
      <c r="B243" s="4">
        <v>1</v>
      </c>
      <c r="C243" s="4">
        <v>0</v>
      </c>
      <c r="D243" s="4">
        <v>1</v>
      </c>
      <c r="E243" s="4">
        <v>205</v>
      </c>
      <c r="F243" s="4">
        <f>ROUND(Source!S228,O243)</f>
        <v>24258.9</v>
      </c>
      <c r="G243" s="4" t="s">
        <v>76</v>
      </c>
      <c r="H243" s="4" t="s">
        <v>77</v>
      </c>
      <c r="I243" s="4"/>
      <c r="J243" s="4"/>
      <c r="K243" s="4">
        <v>205</v>
      </c>
      <c r="L243" s="4">
        <v>14</v>
      </c>
      <c r="M243" s="4">
        <v>0</v>
      </c>
      <c r="N243" s="4" t="s">
        <v>3</v>
      </c>
      <c r="O243" s="4">
        <v>1</v>
      </c>
      <c r="P243" s="4"/>
      <c r="Q243" s="4"/>
      <c r="R243" s="4"/>
      <c r="S243" s="4"/>
      <c r="T243" s="4"/>
      <c r="U243" s="4"/>
      <c r="V243" s="4"/>
      <c r="W243" s="4"/>
    </row>
    <row r="244" spans="1:23" ht="12.75">
      <c r="A244" s="4">
        <v>50</v>
      </c>
      <c r="B244" s="4">
        <v>0</v>
      </c>
      <c r="C244" s="4">
        <v>0</v>
      </c>
      <c r="D244" s="4">
        <v>1</v>
      </c>
      <c r="E244" s="4">
        <v>232</v>
      </c>
      <c r="F244" s="4">
        <f>ROUND(Source!BC228,O244)</f>
        <v>0</v>
      </c>
      <c r="G244" s="4" t="s">
        <v>78</v>
      </c>
      <c r="H244" s="4" t="s">
        <v>79</v>
      </c>
      <c r="I244" s="4"/>
      <c r="J244" s="4"/>
      <c r="K244" s="4">
        <v>232</v>
      </c>
      <c r="L244" s="4">
        <v>15</v>
      </c>
      <c r="M244" s="4">
        <v>3</v>
      </c>
      <c r="N244" s="4" t="s">
        <v>3</v>
      </c>
      <c r="O244" s="4">
        <v>1</v>
      </c>
      <c r="P244" s="4"/>
      <c r="Q244" s="4"/>
      <c r="R244" s="4"/>
      <c r="S244" s="4"/>
      <c r="T244" s="4"/>
      <c r="U244" s="4"/>
      <c r="V244" s="4"/>
      <c r="W244" s="4"/>
    </row>
    <row r="245" spans="1:23" ht="12.75">
      <c r="A245" s="4">
        <v>50</v>
      </c>
      <c r="B245" s="4">
        <v>1</v>
      </c>
      <c r="C245" s="4">
        <v>0</v>
      </c>
      <c r="D245" s="4">
        <v>1</v>
      </c>
      <c r="E245" s="4">
        <v>214</v>
      </c>
      <c r="F245" s="4">
        <f>ROUND(Source!AS228,O245)</f>
        <v>0</v>
      </c>
      <c r="G245" s="4" t="s">
        <v>80</v>
      </c>
      <c r="H245" s="4" t="s">
        <v>81</v>
      </c>
      <c r="I245" s="4"/>
      <c r="J245" s="4"/>
      <c r="K245" s="4">
        <v>214</v>
      </c>
      <c r="L245" s="4">
        <v>16</v>
      </c>
      <c r="M245" s="4">
        <v>0</v>
      </c>
      <c r="N245" s="4" t="s">
        <v>3</v>
      </c>
      <c r="O245" s="4">
        <v>1</v>
      </c>
      <c r="P245" s="4"/>
      <c r="Q245" s="4"/>
      <c r="R245" s="4"/>
      <c r="S245" s="4"/>
      <c r="T245" s="4"/>
      <c r="U245" s="4"/>
      <c r="V245" s="4"/>
      <c r="W245" s="4"/>
    </row>
    <row r="246" spans="1:23" ht="12.75">
      <c r="A246" s="4">
        <v>50</v>
      </c>
      <c r="B246" s="4">
        <v>1</v>
      </c>
      <c r="C246" s="4">
        <v>0</v>
      </c>
      <c r="D246" s="4">
        <v>1</v>
      </c>
      <c r="E246" s="4">
        <v>215</v>
      </c>
      <c r="F246" s="4">
        <f>ROUND(Source!AT228,O246)</f>
        <v>0</v>
      </c>
      <c r="G246" s="4" t="s">
        <v>82</v>
      </c>
      <c r="H246" s="4" t="s">
        <v>83</v>
      </c>
      <c r="I246" s="4"/>
      <c r="J246" s="4"/>
      <c r="K246" s="4">
        <v>215</v>
      </c>
      <c r="L246" s="4">
        <v>17</v>
      </c>
      <c r="M246" s="4">
        <v>0</v>
      </c>
      <c r="N246" s="4" t="s">
        <v>3</v>
      </c>
      <c r="O246" s="4">
        <v>1</v>
      </c>
      <c r="P246" s="4"/>
      <c r="Q246" s="4"/>
      <c r="R246" s="4"/>
      <c r="S246" s="4"/>
      <c r="T246" s="4"/>
      <c r="U246" s="4"/>
      <c r="V246" s="4"/>
      <c r="W246" s="4"/>
    </row>
    <row r="247" spans="1:23" ht="12.75">
      <c r="A247" s="4">
        <v>50</v>
      </c>
      <c r="B247" s="4">
        <v>1</v>
      </c>
      <c r="C247" s="4">
        <v>0</v>
      </c>
      <c r="D247" s="4">
        <v>1</v>
      </c>
      <c r="E247" s="4">
        <v>217</v>
      </c>
      <c r="F247" s="4">
        <f>ROUND(Source!AU228,O247)</f>
        <v>45364.1</v>
      </c>
      <c r="G247" s="4" t="s">
        <v>84</v>
      </c>
      <c r="H247" s="4" t="s">
        <v>85</v>
      </c>
      <c r="I247" s="4"/>
      <c r="J247" s="4"/>
      <c r="K247" s="4">
        <v>217</v>
      </c>
      <c r="L247" s="4">
        <v>18</v>
      </c>
      <c r="M247" s="4">
        <v>0</v>
      </c>
      <c r="N247" s="4" t="s">
        <v>3</v>
      </c>
      <c r="O247" s="4">
        <v>1</v>
      </c>
      <c r="P247" s="4"/>
      <c r="Q247" s="4"/>
      <c r="R247" s="4"/>
      <c r="S247" s="4"/>
      <c r="T247" s="4"/>
      <c r="U247" s="4"/>
      <c r="V247" s="4"/>
      <c r="W247" s="4"/>
    </row>
    <row r="248" spans="1:23" ht="12.75">
      <c r="A248" s="4">
        <v>50</v>
      </c>
      <c r="B248" s="4">
        <v>0</v>
      </c>
      <c r="C248" s="4">
        <v>0</v>
      </c>
      <c r="D248" s="4">
        <v>1</v>
      </c>
      <c r="E248" s="4">
        <v>230</v>
      </c>
      <c r="F248" s="4">
        <f>ROUND(Source!BA228,O248)</f>
        <v>0</v>
      </c>
      <c r="G248" s="4" t="s">
        <v>86</v>
      </c>
      <c r="H248" s="4" t="s">
        <v>87</v>
      </c>
      <c r="I248" s="4"/>
      <c r="J248" s="4"/>
      <c r="K248" s="4">
        <v>230</v>
      </c>
      <c r="L248" s="4">
        <v>19</v>
      </c>
      <c r="M248" s="4">
        <v>3</v>
      </c>
      <c r="N248" s="4" t="s">
        <v>3</v>
      </c>
      <c r="O248" s="4">
        <v>1</v>
      </c>
      <c r="P248" s="4"/>
      <c r="Q248" s="4"/>
      <c r="R248" s="4"/>
      <c r="S248" s="4"/>
      <c r="T248" s="4"/>
      <c r="U248" s="4"/>
      <c r="V248" s="4"/>
      <c r="W248" s="4"/>
    </row>
    <row r="249" spans="1:23" ht="12.75">
      <c r="A249" s="4">
        <v>50</v>
      </c>
      <c r="B249" s="4">
        <v>0</v>
      </c>
      <c r="C249" s="4">
        <v>0</v>
      </c>
      <c r="D249" s="4">
        <v>1</v>
      </c>
      <c r="E249" s="4">
        <v>206</v>
      </c>
      <c r="F249" s="4">
        <f>ROUND(Source!T228,O249)</f>
        <v>0</v>
      </c>
      <c r="G249" s="4" t="s">
        <v>88</v>
      </c>
      <c r="H249" s="4" t="s">
        <v>89</v>
      </c>
      <c r="I249" s="4"/>
      <c r="J249" s="4"/>
      <c r="K249" s="4">
        <v>206</v>
      </c>
      <c r="L249" s="4">
        <v>20</v>
      </c>
      <c r="M249" s="4">
        <v>3</v>
      </c>
      <c r="N249" s="4" t="s">
        <v>3</v>
      </c>
      <c r="O249" s="4">
        <v>1</v>
      </c>
      <c r="P249" s="4"/>
      <c r="Q249" s="4"/>
      <c r="R249" s="4"/>
      <c r="S249" s="4"/>
      <c r="T249" s="4"/>
      <c r="U249" s="4"/>
      <c r="V249" s="4"/>
      <c r="W249" s="4"/>
    </row>
    <row r="250" spans="1:23" ht="12.75">
      <c r="A250" s="4">
        <v>50</v>
      </c>
      <c r="B250" s="4">
        <v>1</v>
      </c>
      <c r="C250" s="4">
        <v>0</v>
      </c>
      <c r="D250" s="4">
        <v>1</v>
      </c>
      <c r="E250" s="4">
        <v>207</v>
      </c>
      <c r="F250" s="4">
        <f>Source!U228</f>
        <v>103.58999999999999</v>
      </c>
      <c r="G250" s="4" t="s">
        <v>90</v>
      </c>
      <c r="H250" s="4" t="s">
        <v>91</v>
      </c>
      <c r="I250" s="4"/>
      <c r="J250" s="4"/>
      <c r="K250" s="4">
        <v>207</v>
      </c>
      <c r="L250" s="4">
        <v>21</v>
      </c>
      <c r="M250" s="4">
        <v>0</v>
      </c>
      <c r="N250" s="4" t="s">
        <v>3</v>
      </c>
      <c r="O250" s="4">
        <v>-1</v>
      </c>
      <c r="P250" s="4"/>
      <c r="Q250" s="4"/>
      <c r="R250" s="4"/>
      <c r="S250" s="4"/>
      <c r="T250" s="4"/>
      <c r="U250" s="4"/>
      <c r="V250" s="4"/>
      <c r="W250" s="4"/>
    </row>
    <row r="251" spans="1:23" ht="12.75">
      <c r="A251" s="4">
        <v>50</v>
      </c>
      <c r="B251" s="4">
        <v>1</v>
      </c>
      <c r="C251" s="4">
        <v>0</v>
      </c>
      <c r="D251" s="4">
        <v>1</v>
      </c>
      <c r="E251" s="4">
        <v>208</v>
      </c>
      <c r="F251" s="4">
        <f>Source!V228</f>
        <v>0</v>
      </c>
      <c r="G251" s="4" t="s">
        <v>92</v>
      </c>
      <c r="H251" s="4" t="s">
        <v>93</v>
      </c>
      <c r="I251" s="4"/>
      <c r="J251" s="4"/>
      <c r="K251" s="4">
        <v>208</v>
      </c>
      <c r="L251" s="4">
        <v>22</v>
      </c>
      <c r="M251" s="4">
        <v>0</v>
      </c>
      <c r="N251" s="4" t="s">
        <v>3</v>
      </c>
      <c r="O251" s="4">
        <v>-1</v>
      </c>
      <c r="P251" s="4"/>
      <c r="Q251" s="4"/>
      <c r="R251" s="4"/>
      <c r="S251" s="4"/>
      <c r="T251" s="4"/>
      <c r="U251" s="4"/>
      <c r="V251" s="4"/>
      <c r="W251" s="4"/>
    </row>
    <row r="252" spans="1:23" ht="12.75">
      <c r="A252" s="4">
        <v>50</v>
      </c>
      <c r="B252" s="4">
        <v>0</v>
      </c>
      <c r="C252" s="4">
        <v>0</v>
      </c>
      <c r="D252" s="4">
        <v>1</v>
      </c>
      <c r="E252" s="4">
        <v>209</v>
      </c>
      <c r="F252" s="4">
        <f>ROUND(Source!W228,O252)</f>
        <v>0</v>
      </c>
      <c r="G252" s="4" t="s">
        <v>94</v>
      </c>
      <c r="H252" s="4" t="s">
        <v>95</v>
      </c>
      <c r="I252" s="4"/>
      <c r="J252" s="4"/>
      <c r="K252" s="4">
        <v>209</v>
      </c>
      <c r="L252" s="4">
        <v>23</v>
      </c>
      <c r="M252" s="4">
        <v>3</v>
      </c>
      <c r="N252" s="4" t="s">
        <v>3</v>
      </c>
      <c r="O252" s="4">
        <v>1</v>
      </c>
      <c r="P252" s="4"/>
      <c r="Q252" s="4"/>
      <c r="R252" s="4"/>
      <c r="S252" s="4"/>
      <c r="T252" s="4"/>
      <c r="U252" s="4"/>
      <c r="V252" s="4"/>
      <c r="W252" s="4"/>
    </row>
    <row r="253" spans="1:23" ht="12.75">
      <c r="A253" s="4">
        <v>50</v>
      </c>
      <c r="B253" s="4">
        <v>1</v>
      </c>
      <c r="C253" s="4">
        <v>0</v>
      </c>
      <c r="D253" s="4">
        <v>1</v>
      </c>
      <c r="E253" s="4">
        <v>210</v>
      </c>
      <c r="F253" s="4">
        <f>ROUND(Source!X228,O253)</f>
        <v>13342.3</v>
      </c>
      <c r="G253" s="4" t="s">
        <v>96</v>
      </c>
      <c r="H253" s="4" t="s">
        <v>97</v>
      </c>
      <c r="I253" s="4"/>
      <c r="J253" s="4"/>
      <c r="K253" s="4">
        <v>210</v>
      </c>
      <c r="L253" s="4">
        <v>24</v>
      </c>
      <c r="M253" s="4">
        <v>0</v>
      </c>
      <c r="N253" s="4" t="s">
        <v>3</v>
      </c>
      <c r="O253" s="4">
        <v>1</v>
      </c>
      <c r="P253" s="4"/>
      <c r="Q253" s="4"/>
      <c r="R253" s="4"/>
      <c r="S253" s="4"/>
      <c r="T253" s="4"/>
      <c r="U253" s="4"/>
      <c r="V253" s="4"/>
      <c r="W253" s="4"/>
    </row>
    <row r="254" spans="1:23" ht="12.75">
      <c r="A254" s="4">
        <v>50</v>
      </c>
      <c r="B254" s="4">
        <v>1</v>
      </c>
      <c r="C254" s="4">
        <v>0</v>
      </c>
      <c r="D254" s="4">
        <v>1</v>
      </c>
      <c r="E254" s="4">
        <v>211</v>
      </c>
      <c r="F254" s="4">
        <f>ROUND(Source!Y228,O254)</f>
        <v>7762.9</v>
      </c>
      <c r="G254" s="4" t="s">
        <v>98</v>
      </c>
      <c r="H254" s="4" t="s">
        <v>99</v>
      </c>
      <c r="I254" s="4"/>
      <c r="J254" s="4"/>
      <c r="K254" s="4">
        <v>211</v>
      </c>
      <c r="L254" s="4">
        <v>25</v>
      </c>
      <c r="M254" s="4">
        <v>0</v>
      </c>
      <c r="N254" s="4" t="s">
        <v>3</v>
      </c>
      <c r="O254" s="4">
        <v>1</v>
      </c>
      <c r="P254" s="4"/>
      <c r="Q254" s="4"/>
      <c r="R254" s="4"/>
      <c r="S254" s="4"/>
      <c r="T254" s="4"/>
      <c r="U254" s="4"/>
      <c r="V254" s="4"/>
      <c r="W254" s="4"/>
    </row>
    <row r="255" spans="1:23" ht="12.75">
      <c r="A255" s="4">
        <v>50</v>
      </c>
      <c r="B255" s="4">
        <v>1</v>
      </c>
      <c r="C255" s="4">
        <v>0</v>
      </c>
      <c r="D255" s="4">
        <v>1</v>
      </c>
      <c r="E255" s="4">
        <v>224</v>
      </c>
      <c r="F255" s="4">
        <f>ROUND(Source!AR228,O255)</f>
        <v>45364.1</v>
      </c>
      <c r="G255" s="4" t="s">
        <v>100</v>
      </c>
      <c r="H255" s="4" t="s">
        <v>101</v>
      </c>
      <c r="I255" s="4"/>
      <c r="J255" s="4"/>
      <c r="K255" s="4">
        <v>224</v>
      </c>
      <c r="L255" s="4">
        <v>26</v>
      </c>
      <c r="M255" s="4">
        <v>0</v>
      </c>
      <c r="N255" s="4" t="s">
        <v>3</v>
      </c>
      <c r="O255" s="4">
        <v>1</v>
      </c>
      <c r="P255" s="4"/>
      <c r="Q255" s="4"/>
      <c r="R255" s="4"/>
      <c r="S255" s="4"/>
      <c r="T255" s="4"/>
      <c r="U255" s="4"/>
      <c r="V255" s="4"/>
      <c r="W255" s="4"/>
    </row>
    <row r="257" spans="1:88" ht="12.75">
      <c r="A257" s="1">
        <v>4</v>
      </c>
      <c r="B257" s="1">
        <v>1</v>
      </c>
      <c r="C257" s="1"/>
      <c r="D257" s="1">
        <f>ROW(A266)</f>
        <v>266</v>
      </c>
      <c r="E257" s="1"/>
      <c r="F257" s="1" t="s">
        <v>20</v>
      </c>
      <c r="G257" s="1" t="s">
        <v>343</v>
      </c>
      <c r="H257" s="1" t="s">
        <v>3</v>
      </c>
      <c r="I257" s="1">
        <v>0</v>
      </c>
      <c r="J257" s="1"/>
      <c r="K257" s="1">
        <v>0</v>
      </c>
      <c r="L257" s="1"/>
      <c r="M257" s="1"/>
      <c r="N257" s="1"/>
      <c r="O257" s="1"/>
      <c r="P257" s="1"/>
      <c r="Q257" s="1"/>
      <c r="R257" s="1"/>
      <c r="S257" s="1"/>
      <c r="T257" s="1"/>
      <c r="U257" s="1" t="s">
        <v>3</v>
      </c>
      <c r="V257" s="1">
        <v>0</v>
      </c>
      <c r="W257" s="1"/>
      <c r="X257" s="1"/>
      <c r="Y257" s="1"/>
      <c r="Z257" s="1"/>
      <c r="AA257" s="1"/>
      <c r="AB257" s="1" t="s">
        <v>3</v>
      </c>
      <c r="AC257" s="1" t="s">
        <v>3</v>
      </c>
      <c r="AD257" s="1" t="s">
        <v>3</v>
      </c>
      <c r="AE257" s="1" t="s">
        <v>3</v>
      </c>
      <c r="AF257" s="1" t="s">
        <v>3</v>
      </c>
      <c r="AG257" s="1" t="s">
        <v>3</v>
      </c>
      <c r="AH257" s="1"/>
      <c r="AI257" s="1"/>
      <c r="AJ257" s="1"/>
      <c r="AK257" s="1"/>
      <c r="AL257" s="1"/>
      <c r="AM257" s="1"/>
      <c r="AN257" s="1"/>
      <c r="AO257" s="1"/>
      <c r="AP257" s="1" t="s">
        <v>3</v>
      </c>
      <c r="AQ257" s="1" t="s">
        <v>3</v>
      </c>
      <c r="AR257" s="1" t="s">
        <v>3</v>
      </c>
      <c r="AS257" s="1"/>
      <c r="AT257" s="1"/>
      <c r="AU257" s="1"/>
      <c r="AV257" s="1"/>
      <c r="AW257" s="1"/>
      <c r="AX257" s="1"/>
      <c r="AY257" s="1"/>
      <c r="AZ257" s="1" t="s">
        <v>3</v>
      </c>
      <c r="BA257" s="1"/>
      <c r="BB257" s="1" t="s">
        <v>3</v>
      </c>
      <c r="BC257" s="1" t="s">
        <v>3</v>
      </c>
      <c r="BD257" s="1" t="s">
        <v>3</v>
      </c>
      <c r="BE257" s="1" t="s">
        <v>3</v>
      </c>
      <c r="BF257" s="1" t="s">
        <v>3</v>
      </c>
      <c r="BG257" s="1" t="s">
        <v>3</v>
      </c>
      <c r="BH257" s="1" t="s">
        <v>3</v>
      </c>
      <c r="BI257" s="1" t="s">
        <v>3</v>
      </c>
      <c r="BJ257" s="1" t="s">
        <v>3</v>
      </c>
      <c r="BK257" s="1" t="s">
        <v>3</v>
      </c>
      <c r="BL257" s="1" t="s">
        <v>3</v>
      </c>
      <c r="BM257" s="1" t="s">
        <v>3</v>
      </c>
      <c r="BN257" s="1" t="s">
        <v>3</v>
      </c>
      <c r="BO257" s="1" t="s">
        <v>3</v>
      </c>
      <c r="BP257" s="1" t="s">
        <v>3</v>
      </c>
      <c r="BQ257" s="1"/>
      <c r="BR257" s="1"/>
      <c r="BS257" s="1"/>
      <c r="BT257" s="1"/>
      <c r="BU257" s="1"/>
      <c r="BV257" s="1"/>
      <c r="BW257" s="1"/>
      <c r="BX257" s="1">
        <v>0</v>
      </c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>
        <v>0</v>
      </c>
    </row>
    <row r="259" spans="1:206" ht="12.75">
      <c r="A259" s="2">
        <v>52</v>
      </c>
      <c r="B259" s="2">
        <f aca="true" t="shared" si="211" ref="B259:G259">B266</f>
        <v>1</v>
      </c>
      <c r="C259" s="2">
        <f t="shared" si="211"/>
        <v>4</v>
      </c>
      <c r="D259" s="2">
        <f t="shared" si="211"/>
        <v>257</v>
      </c>
      <c r="E259" s="2">
        <f t="shared" si="211"/>
        <v>0</v>
      </c>
      <c r="F259" s="2" t="str">
        <f t="shared" si="211"/>
        <v>Новый раздел</v>
      </c>
      <c r="G259" s="2" t="str">
        <f t="shared" si="211"/>
        <v>Заземление. Испытание</v>
      </c>
      <c r="H259" s="2"/>
      <c r="I259" s="2"/>
      <c r="J259" s="2"/>
      <c r="K259" s="2"/>
      <c r="L259" s="2"/>
      <c r="M259" s="2"/>
      <c r="N259" s="2"/>
      <c r="O259" s="2">
        <f aca="true" t="shared" si="212" ref="O259:AT259">O266</f>
        <v>47563.8</v>
      </c>
      <c r="P259" s="2">
        <f t="shared" si="212"/>
        <v>0</v>
      </c>
      <c r="Q259" s="2">
        <f t="shared" si="212"/>
        <v>0</v>
      </c>
      <c r="R259" s="2">
        <f t="shared" si="212"/>
        <v>0</v>
      </c>
      <c r="S259" s="2">
        <f t="shared" si="212"/>
        <v>47563.8</v>
      </c>
      <c r="T259" s="2">
        <f t="shared" si="212"/>
        <v>0</v>
      </c>
      <c r="U259" s="2">
        <f t="shared" si="212"/>
        <v>187.5968</v>
      </c>
      <c r="V259" s="2">
        <f t="shared" si="212"/>
        <v>0</v>
      </c>
      <c r="W259" s="2">
        <f t="shared" si="212"/>
        <v>0</v>
      </c>
      <c r="X259" s="2">
        <f t="shared" si="212"/>
        <v>26160.1</v>
      </c>
      <c r="Y259" s="2">
        <f t="shared" si="212"/>
        <v>15220.3</v>
      </c>
      <c r="Z259" s="2">
        <f t="shared" si="212"/>
        <v>0</v>
      </c>
      <c r="AA259" s="2">
        <f t="shared" si="212"/>
        <v>0</v>
      </c>
      <c r="AB259" s="2">
        <f t="shared" si="212"/>
        <v>47563.8</v>
      </c>
      <c r="AC259" s="2">
        <f t="shared" si="212"/>
        <v>0</v>
      </c>
      <c r="AD259" s="2">
        <f t="shared" si="212"/>
        <v>0</v>
      </c>
      <c r="AE259" s="2">
        <f t="shared" si="212"/>
        <v>0</v>
      </c>
      <c r="AF259" s="2">
        <f t="shared" si="212"/>
        <v>47563.8</v>
      </c>
      <c r="AG259" s="2">
        <f t="shared" si="212"/>
        <v>0</v>
      </c>
      <c r="AH259" s="2">
        <f t="shared" si="212"/>
        <v>187.5968</v>
      </c>
      <c r="AI259" s="2">
        <f t="shared" si="212"/>
        <v>0</v>
      </c>
      <c r="AJ259" s="2">
        <f t="shared" si="212"/>
        <v>0</v>
      </c>
      <c r="AK259" s="2">
        <f t="shared" si="212"/>
        <v>26160.1</v>
      </c>
      <c r="AL259" s="2">
        <f t="shared" si="212"/>
        <v>15220.3</v>
      </c>
      <c r="AM259" s="2">
        <f t="shared" si="212"/>
        <v>0</v>
      </c>
      <c r="AN259" s="2">
        <f t="shared" si="212"/>
        <v>0</v>
      </c>
      <c r="AO259" s="2">
        <f t="shared" si="212"/>
        <v>0</v>
      </c>
      <c r="AP259" s="2">
        <f t="shared" si="212"/>
        <v>0</v>
      </c>
      <c r="AQ259" s="2">
        <f t="shared" si="212"/>
        <v>0</v>
      </c>
      <c r="AR259" s="2">
        <f t="shared" si="212"/>
        <v>88944.2</v>
      </c>
      <c r="AS259" s="2">
        <f t="shared" si="212"/>
        <v>0</v>
      </c>
      <c r="AT259" s="2">
        <f t="shared" si="212"/>
        <v>0</v>
      </c>
      <c r="AU259" s="2">
        <f aca="true" t="shared" si="213" ref="AU259:BZ259">AU266</f>
        <v>88944.2</v>
      </c>
      <c r="AV259" s="2">
        <f t="shared" si="213"/>
        <v>0</v>
      </c>
      <c r="AW259" s="2">
        <f t="shared" si="213"/>
        <v>0</v>
      </c>
      <c r="AX259" s="2">
        <f t="shared" si="213"/>
        <v>0</v>
      </c>
      <c r="AY259" s="2">
        <f t="shared" si="213"/>
        <v>0</v>
      </c>
      <c r="AZ259" s="2">
        <f t="shared" si="213"/>
        <v>0</v>
      </c>
      <c r="BA259" s="2">
        <f t="shared" si="213"/>
        <v>0</v>
      </c>
      <c r="BB259" s="2">
        <f t="shared" si="213"/>
        <v>0</v>
      </c>
      <c r="BC259" s="2">
        <f t="shared" si="213"/>
        <v>0</v>
      </c>
      <c r="BD259" s="2">
        <f t="shared" si="213"/>
        <v>0</v>
      </c>
      <c r="BE259" s="2">
        <f t="shared" si="213"/>
        <v>0</v>
      </c>
      <c r="BF259" s="2">
        <f t="shared" si="213"/>
        <v>0</v>
      </c>
      <c r="BG259" s="2">
        <f t="shared" si="213"/>
        <v>0</v>
      </c>
      <c r="BH259" s="2">
        <f t="shared" si="213"/>
        <v>0</v>
      </c>
      <c r="BI259" s="2">
        <f t="shared" si="213"/>
        <v>0</v>
      </c>
      <c r="BJ259" s="2">
        <f t="shared" si="213"/>
        <v>0</v>
      </c>
      <c r="BK259" s="2">
        <f t="shared" si="213"/>
        <v>0</v>
      </c>
      <c r="BL259" s="2">
        <f t="shared" si="213"/>
        <v>0</v>
      </c>
      <c r="BM259" s="2">
        <f t="shared" si="213"/>
        <v>0</v>
      </c>
      <c r="BN259" s="2">
        <f t="shared" si="213"/>
        <v>0</v>
      </c>
      <c r="BO259" s="2">
        <f t="shared" si="213"/>
        <v>0</v>
      </c>
      <c r="BP259" s="2">
        <f t="shared" si="213"/>
        <v>0</v>
      </c>
      <c r="BQ259" s="2">
        <f t="shared" si="213"/>
        <v>0</v>
      </c>
      <c r="BR259" s="2">
        <f t="shared" si="213"/>
        <v>0</v>
      </c>
      <c r="BS259" s="2">
        <f t="shared" si="213"/>
        <v>0</v>
      </c>
      <c r="BT259" s="2">
        <f t="shared" si="213"/>
        <v>0</v>
      </c>
      <c r="BU259" s="2">
        <f t="shared" si="213"/>
        <v>0</v>
      </c>
      <c r="BV259" s="2">
        <f t="shared" si="213"/>
        <v>0</v>
      </c>
      <c r="BW259" s="2">
        <f t="shared" si="213"/>
        <v>0</v>
      </c>
      <c r="BX259" s="2">
        <f t="shared" si="213"/>
        <v>0</v>
      </c>
      <c r="BY259" s="2">
        <f t="shared" si="213"/>
        <v>0</v>
      </c>
      <c r="BZ259" s="2">
        <f t="shared" si="213"/>
        <v>0</v>
      </c>
      <c r="CA259" s="2">
        <f aca="true" t="shared" si="214" ref="CA259:DF259">CA266</f>
        <v>88944.2</v>
      </c>
      <c r="CB259" s="2">
        <f t="shared" si="214"/>
        <v>0</v>
      </c>
      <c r="CC259" s="2">
        <f t="shared" si="214"/>
        <v>0</v>
      </c>
      <c r="CD259" s="2">
        <f t="shared" si="214"/>
        <v>88944.2</v>
      </c>
      <c r="CE259" s="2">
        <f t="shared" si="214"/>
        <v>0</v>
      </c>
      <c r="CF259" s="2">
        <f t="shared" si="214"/>
        <v>0</v>
      </c>
      <c r="CG259" s="2">
        <f t="shared" si="214"/>
        <v>0</v>
      </c>
      <c r="CH259" s="2">
        <f t="shared" si="214"/>
        <v>0</v>
      </c>
      <c r="CI259" s="2">
        <f t="shared" si="214"/>
        <v>0</v>
      </c>
      <c r="CJ259" s="2">
        <f t="shared" si="214"/>
        <v>0</v>
      </c>
      <c r="CK259" s="2">
        <f t="shared" si="214"/>
        <v>0</v>
      </c>
      <c r="CL259" s="2">
        <f t="shared" si="214"/>
        <v>0</v>
      </c>
      <c r="CM259" s="2">
        <f t="shared" si="214"/>
        <v>0</v>
      </c>
      <c r="CN259" s="2">
        <f t="shared" si="214"/>
        <v>0</v>
      </c>
      <c r="CO259" s="2">
        <f t="shared" si="214"/>
        <v>0</v>
      </c>
      <c r="CP259" s="2">
        <f t="shared" si="214"/>
        <v>0</v>
      </c>
      <c r="CQ259" s="2">
        <f t="shared" si="214"/>
        <v>0</v>
      </c>
      <c r="CR259" s="2">
        <f t="shared" si="214"/>
        <v>0</v>
      </c>
      <c r="CS259" s="2">
        <f t="shared" si="214"/>
        <v>0</v>
      </c>
      <c r="CT259" s="2">
        <f t="shared" si="214"/>
        <v>0</v>
      </c>
      <c r="CU259" s="2">
        <f t="shared" si="214"/>
        <v>0</v>
      </c>
      <c r="CV259" s="2">
        <f t="shared" si="214"/>
        <v>0</v>
      </c>
      <c r="CW259" s="2">
        <f t="shared" si="214"/>
        <v>0</v>
      </c>
      <c r="CX259" s="2">
        <f t="shared" si="214"/>
        <v>0</v>
      </c>
      <c r="CY259" s="2">
        <f t="shared" si="214"/>
        <v>0</v>
      </c>
      <c r="CZ259" s="2">
        <f t="shared" si="214"/>
        <v>0</v>
      </c>
      <c r="DA259" s="2">
        <f t="shared" si="214"/>
        <v>0</v>
      </c>
      <c r="DB259" s="2">
        <f t="shared" si="214"/>
        <v>0</v>
      </c>
      <c r="DC259" s="2">
        <f t="shared" si="214"/>
        <v>0</v>
      </c>
      <c r="DD259" s="2">
        <f t="shared" si="214"/>
        <v>0</v>
      </c>
      <c r="DE259" s="2">
        <f t="shared" si="214"/>
        <v>0</v>
      </c>
      <c r="DF259" s="2">
        <f t="shared" si="214"/>
        <v>0</v>
      </c>
      <c r="DG259" s="3">
        <f aca="true" t="shared" si="215" ref="DG259:EL259">DG266</f>
        <v>0</v>
      </c>
      <c r="DH259" s="3">
        <f t="shared" si="215"/>
        <v>0</v>
      </c>
      <c r="DI259" s="3">
        <f t="shared" si="215"/>
        <v>0</v>
      </c>
      <c r="DJ259" s="3">
        <f t="shared" si="215"/>
        <v>0</v>
      </c>
      <c r="DK259" s="3">
        <f t="shared" si="215"/>
        <v>0</v>
      </c>
      <c r="DL259" s="3">
        <f t="shared" si="215"/>
        <v>0</v>
      </c>
      <c r="DM259" s="3">
        <f t="shared" si="215"/>
        <v>0</v>
      </c>
      <c r="DN259" s="3">
        <f t="shared" si="215"/>
        <v>0</v>
      </c>
      <c r="DO259" s="3">
        <f t="shared" si="215"/>
        <v>0</v>
      </c>
      <c r="DP259" s="3">
        <f t="shared" si="215"/>
        <v>0</v>
      </c>
      <c r="DQ259" s="3">
        <f t="shared" si="215"/>
        <v>0</v>
      </c>
      <c r="DR259" s="3">
        <f t="shared" si="215"/>
        <v>0</v>
      </c>
      <c r="DS259" s="3">
        <f t="shared" si="215"/>
        <v>0</v>
      </c>
      <c r="DT259" s="3">
        <f t="shared" si="215"/>
        <v>0</v>
      </c>
      <c r="DU259" s="3">
        <f t="shared" si="215"/>
        <v>0</v>
      </c>
      <c r="DV259" s="3">
        <f t="shared" si="215"/>
        <v>0</v>
      </c>
      <c r="DW259" s="3">
        <f t="shared" si="215"/>
        <v>0</v>
      </c>
      <c r="DX259" s="3">
        <f t="shared" si="215"/>
        <v>0</v>
      </c>
      <c r="DY259" s="3">
        <f t="shared" si="215"/>
        <v>0</v>
      </c>
      <c r="DZ259" s="3">
        <f t="shared" si="215"/>
        <v>0</v>
      </c>
      <c r="EA259" s="3">
        <f t="shared" si="215"/>
        <v>0</v>
      </c>
      <c r="EB259" s="3">
        <f t="shared" si="215"/>
        <v>0</v>
      </c>
      <c r="EC259" s="3">
        <f t="shared" si="215"/>
        <v>0</v>
      </c>
      <c r="ED259" s="3">
        <f t="shared" si="215"/>
        <v>0</v>
      </c>
      <c r="EE259" s="3">
        <f t="shared" si="215"/>
        <v>0</v>
      </c>
      <c r="EF259" s="3">
        <f t="shared" si="215"/>
        <v>0</v>
      </c>
      <c r="EG259" s="3">
        <f t="shared" si="215"/>
        <v>0</v>
      </c>
      <c r="EH259" s="3">
        <f t="shared" si="215"/>
        <v>0</v>
      </c>
      <c r="EI259" s="3">
        <f t="shared" si="215"/>
        <v>0</v>
      </c>
      <c r="EJ259" s="3">
        <f t="shared" si="215"/>
        <v>0</v>
      </c>
      <c r="EK259" s="3">
        <f t="shared" si="215"/>
        <v>0</v>
      </c>
      <c r="EL259" s="3">
        <f t="shared" si="215"/>
        <v>0</v>
      </c>
      <c r="EM259" s="3">
        <f aca="true" t="shared" si="216" ref="EM259:FR259">EM266</f>
        <v>0</v>
      </c>
      <c r="EN259" s="3">
        <f t="shared" si="216"/>
        <v>0</v>
      </c>
      <c r="EO259" s="3">
        <f t="shared" si="216"/>
        <v>0</v>
      </c>
      <c r="EP259" s="3">
        <f t="shared" si="216"/>
        <v>0</v>
      </c>
      <c r="EQ259" s="3">
        <f t="shared" si="216"/>
        <v>0</v>
      </c>
      <c r="ER259" s="3">
        <f t="shared" si="216"/>
        <v>0</v>
      </c>
      <c r="ES259" s="3">
        <f t="shared" si="216"/>
        <v>0</v>
      </c>
      <c r="ET259" s="3">
        <f t="shared" si="216"/>
        <v>0</v>
      </c>
      <c r="EU259" s="3">
        <f t="shared" si="216"/>
        <v>0</v>
      </c>
      <c r="EV259" s="3">
        <f t="shared" si="216"/>
        <v>0</v>
      </c>
      <c r="EW259" s="3">
        <f t="shared" si="216"/>
        <v>0</v>
      </c>
      <c r="EX259" s="3">
        <f t="shared" si="216"/>
        <v>0</v>
      </c>
      <c r="EY259" s="3">
        <f t="shared" si="216"/>
        <v>0</v>
      </c>
      <c r="EZ259" s="3">
        <f t="shared" si="216"/>
        <v>0</v>
      </c>
      <c r="FA259" s="3">
        <f t="shared" si="216"/>
        <v>0</v>
      </c>
      <c r="FB259" s="3">
        <f t="shared" si="216"/>
        <v>0</v>
      </c>
      <c r="FC259" s="3">
        <f t="shared" si="216"/>
        <v>0</v>
      </c>
      <c r="FD259" s="3">
        <f t="shared" si="216"/>
        <v>0</v>
      </c>
      <c r="FE259" s="3">
        <f t="shared" si="216"/>
        <v>0</v>
      </c>
      <c r="FF259" s="3">
        <f t="shared" si="216"/>
        <v>0</v>
      </c>
      <c r="FG259" s="3">
        <f t="shared" si="216"/>
        <v>0</v>
      </c>
      <c r="FH259" s="3">
        <f t="shared" si="216"/>
        <v>0</v>
      </c>
      <c r="FI259" s="3">
        <f t="shared" si="216"/>
        <v>0</v>
      </c>
      <c r="FJ259" s="3">
        <f t="shared" si="216"/>
        <v>0</v>
      </c>
      <c r="FK259" s="3">
        <f t="shared" si="216"/>
        <v>0</v>
      </c>
      <c r="FL259" s="3">
        <f t="shared" si="216"/>
        <v>0</v>
      </c>
      <c r="FM259" s="3">
        <f t="shared" si="216"/>
        <v>0</v>
      </c>
      <c r="FN259" s="3">
        <f t="shared" si="216"/>
        <v>0</v>
      </c>
      <c r="FO259" s="3">
        <f t="shared" si="216"/>
        <v>0</v>
      </c>
      <c r="FP259" s="3">
        <f t="shared" si="216"/>
        <v>0</v>
      </c>
      <c r="FQ259" s="3">
        <f t="shared" si="216"/>
        <v>0</v>
      </c>
      <c r="FR259" s="3">
        <f t="shared" si="216"/>
        <v>0</v>
      </c>
      <c r="FS259" s="3">
        <f aca="true" t="shared" si="217" ref="FS259:GX259">FS266</f>
        <v>0</v>
      </c>
      <c r="FT259" s="3">
        <f t="shared" si="217"/>
        <v>0</v>
      </c>
      <c r="FU259" s="3">
        <f t="shared" si="217"/>
        <v>0</v>
      </c>
      <c r="FV259" s="3">
        <f t="shared" si="217"/>
        <v>0</v>
      </c>
      <c r="FW259" s="3">
        <f t="shared" si="217"/>
        <v>0</v>
      </c>
      <c r="FX259" s="3">
        <f t="shared" si="217"/>
        <v>0</v>
      </c>
      <c r="FY259" s="3">
        <f t="shared" si="217"/>
        <v>0</v>
      </c>
      <c r="FZ259" s="3">
        <f t="shared" si="217"/>
        <v>0</v>
      </c>
      <c r="GA259" s="3">
        <f t="shared" si="217"/>
        <v>0</v>
      </c>
      <c r="GB259" s="3">
        <f t="shared" si="217"/>
        <v>0</v>
      </c>
      <c r="GC259" s="3">
        <f t="shared" si="217"/>
        <v>0</v>
      </c>
      <c r="GD259" s="3">
        <f t="shared" si="217"/>
        <v>0</v>
      </c>
      <c r="GE259" s="3">
        <f t="shared" si="217"/>
        <v>0</v>
      </c>
      <c r="GF259" s="3">
        <f t="shared" si="217"/>
        <v>0</v>
      </c>
      <c r="GG259" s="3">
        <f t="shared" si="217"/>
        <v>0</v>
      </c>
      <c r="GH259" s="3">
        <f t="shared" si="217"/>
        <v>0</v>
      </c>
      <c r="GI259" s="3">
        <f t="shared" si="217"/>
        <v>0</v>
      </c>
      <c r="GJ259" s="3">
        <f t="shared" si="217"/>
        <v>0</v>
      </c>
      <c r="GK259" s="3">
        <f t="shared" si="217"/>
        <v>0</v>
      </c>
      <c r="GL259" s="3">
        <f t="shared" si="217"/>
        <v>0</v>
      </c>
      <c r="GM259" s="3">
        <f t="shared" si="217"/>
        <v>0</v>
      </c>
      <c r="GN259" s="3">
        <f t="shared" si="217"/>
        <v>0</v>
      </c>
      <c r="GO259" s="3">
        <f t="shared" si="217"/>
        <v>0</v>
      </c>
      <c r="GP259" s="3">
        <f t="shared" si="217"/>
        <v>0</v>
      </c>
      <c r="GQ259" s="3">
        <f t="shared" si="217"/>
        <v>0</v>
      </c>
      <c r="GR259" s="3">
        <f t="shared" si="217"/>
        <v>0</v>
      </c>
      <c r="GS259" s="3">
        <f t="shared" si="217"/>
        <v>0</v>
      </c>
      <c r="GT259" s="3">
        <f t="shared" si="217"/>
        <v>0</v>
      </c>
      <c r="GU259" s="3">
        <f t="shared" si="217"/>
        <v>0</v>
      </c>
      <c r="GV259" s="3">
        <f t="shared" si="217"/>
        <v>0</v>
      </c>
      <c r="GW259" s="3">
        <f t="shared" si="217"/>
        <v>0</v>
      </c>
      <c r="GX259" s="3">
        <f t="shared" si="217"/>
        <v>0</v>
      </c>
    </row>
    <row r="261" spans="1:245" ht="12.75">
      <c r="A261">
        <v>17</v>
      </c>
      <c r="B261">
        <v>1</v>
      </c>
      <c r="C261">
        <f>ROW(SmtRes!A209)</f>
        <v>209</v>
      </c>
      <c r="D261">
        <f>ROW(EtalonRes!A210)</f>
        <v>210</v>
      </c>
      <c r="E261" t="s">
        <v>344</v>
      </c>
      <c r="F261" t="s">
        <v>345</v>
      </c>
      <c r="G261" t="s">
        <v>346</v>
      </c>
      <c r="H261" t="s">
        <v>347</v>
      </c>
      <c r="I261">
        <f>ROUND(0.08,3)</f>
        <v>0.08</v>
      </c>
      <c r="J261">
        <v>0</v>
      </c>
      <c r="O261">
        <f>ROUND(CP261,1)</f>
        <v>265</v>
      </c>
      <c r="P261">
        <f>ROUND(CQ261*I261,1)</f>
        <v>0</v>
      </c>
      <c r="Q261">
        <f>ROUND(CR261*I261,1)</f>
        <v>0</v>
      </c>
      <c r="R261">
        <f>ROUND(CS261*I261,1)</f>
        <v>0</v>
      </c>
      <c r="S261">
        <f>ROUND(CT261*I261,1)</f>
        <v>265</v>
      </c>
      <c r="T261">
        <f>ROUND(CU261*I261,1)</f>
        <v>0</v>
      </c>
      <c r="U261">
        <f>CV261*I261</f>
        <v>1.0368000000000002</v>
      </c>
      <c r="V261">
        <f>CW261*I261</f>
        <v>0</v>
      </c>
      <c r="W261">
        <f>ROUND(CX261*I261,1)</f>
        <v>0</v>
      </c>
      <c r="X261">
        <f aca="true" t="shared" si="218" ref="X261:Y264">ROUND(CY261,1)</f>
        <v>145.8</v>
      </c>
      <c r="Y261">
        <f t="shared" si="218"/>
        <v>84.8</v>
      </c>
      <c r="AA261">
        <v>42253831</v>
      </c>
      <c r="AB261">
        <f>ROUND((AC261+AD261+AF261),6)</f>
        <v>165.95</v>
      </c>
      <c r="AC261">
        <f>ROUND((ES261),6)</f>
        <v>0</v>
      </c>
      <c r="AD261">
        <f>ROUND((((ET261)-(EU261))+AE261),6)</f>
        <v>0</v>
      </c>
      <c r="AE261">
        <f aca="true" t="shared" si="219" ref="AE261:AF264">ROUND((EU261),6)</f>
        <v>0</v>
      </c>
      <c r="AF261">
        <f t="shared" si="219"/>
        <v>165.95</v>
      </c>
      <c r="AG261">
        <f>ROUND((AP261),6)</f>
        <v>0</v>
      </c>
      <c r="AH261">
        <f aca="true" t="shared" si="220" ref="AH261:AI264">(EW261)</f>
        <v>12.96</v>
      </c>
      <c r="AI261">
        <f t="shared" si="220"/>
        <v>0</v>
      </c>
      <c r="AJ261">
        <f>ROUND((AS261),6)</f>
        <v>0</v>
      </c>
      <c r="AK261">
        <v>165.95</v>
      </c>
      <c r="AL261">
        <v>0</v>
      </c>
      <c r="AM261">
        <v>0</v>
      </c>
      <c r="AN261">
        <v>0</v>
      </c>
      <c r="AO261">
        <v>165.95</v>
      </c>
      <c r="AP261">
        <v>0</v>
      </c>
      <c r="AQ261">
        <v>12.96</v>
      </c>
      <c r="AR261">
        <v>0</v>
      </c>
      <c r="AS261">
        <v>0</v>
      </c>
      <c r="AT261">
        <v>55</v>
      </c>
      <c r="AU261">
        <v>32</v>
      </c>
      <c r="AV261">
        <v>1</v>
      </c>
      <c r="AW261">
        <v>1</v>
      </c>
      <c r="AZ261">
        <v>1</v>
      </c>
      <c r="BA261">
        <v>19.96</v>
      </c>
      <c r="BB261">
        <v>19.96</v>
      </c>
      <c r="BC261">
        <v>19.96</v>
      </c>
      <c r="BH261">
        <v>0</v>
      </c>
      <c r="BI261">
        <v>4</v>
      </c>
      <c r="BJ261" t="s">
        <v>348</v>
      </c>
      <c r="BM261">
        <v>200001</v>
      </c>
      <c r="BN261">
        <v>0</v>
      </c>
      <c r="BO261" t="s">
        <v>27</v>
      </c>
      <c r="BP261">
        <v>1</v>
      </c>
      <c r="BQ261">
        <v>4</v>
      </c>
      <c r="BR261">
        <v>0</v>
      </c>
      <c r="BS261">
        <v>19.96</v>
      </c>
      <c r="BT261">
        <v>1</v>
      </c>
      <c r="BU261">
        <v>1</v>
      </c>
      <c r="BV261">
        <v>1</v>
      </c>
      <c r="BW261">
        <v>1</v>
      </c>
      <c r="BX261">
        <v>1</v>
      </c>
      <c r="BZ261">
        <v>65</v>
      </c>
      <c r="CA261">
        <v>40</v>
      </c>
      <c r="CF261">
        <v>0</v>
      </c>
      <c r="CG261">
        <v>0</v>
      </c>
      <c r="CM261">
        <v>0</v>
      </c>
      <c r="CO261">
        <v>0</v>
      </c>
      <c r="CP261">
        <f>(P261+Q261+S261)</f>
        <v>265</v>
      </c>
      <c r="CQ261">
        <f>AC261*BC261</f>
        <v>0</v>
      </c>
      <c r="CR261">
        <f>AD261*BB261</f>
        <v>0</v>
      </c>
      <c r="CS261">
        <f>AE261*BS261</f>
        <v>0</v>
      </c>
      <c r="CT261">
        <f>AF261*BA261</f>
        <v>3312.362</v>
      </c>
      <c r="CU261">
        <f aca="true" t="shared" si="221" ref="CU261:CX264">AG261</f>
        <v>0</v>
      </c>
      <c r="CV261">
        <f t="shared" si="221"/>
        <v>12.96</v>
      </c>
      <c r="CW261">
        <f t="shared" si="221"/>
        <v>0</v>
      </c>
      <c r="CX261">
        <f t="shared" si="221"/>
        <v>0</v>
      </c>
      <c r="CY261">
        <f>(((S261+R261)*AT261)/100)</f>
        <v>145.75</v>
      </c>
      <c r="CZ261">
        <f>(((S261+R261)*AU261)/100)</f>
        <v>84.8</v>
      </c>
      <c r="DN261">
        <v>0</v>
      </c>
      <c r="DO261">
        <v>0</v>
      </c>
      <c r="DP261">
        <v>1</v>
      </c>
      <c r="DQ261">
        <v>1</v>
      </c>
      <c r="DU261">
        <v>1013</v>
      </c>
      <c r="DV261" t="s">
        <v>347</v>
      </c>
      <c r="DW261" t="s">
        <v>347</v>
      </c>
      <c r="DX261">
        <v>1</v>
      </c>
      <c r="EE261">
        <v>39125296</v>
      </c>
      <c r="EF261">
        <v>4</v>
      </c>
      <c r="EG261" t="s">
        <v>319</v>
      </c>
      <c r="EH261">
        <v>0</v>
      </c>
      <c r="EJ261">
        <v>4</v>
      </c>
      <c r="EK261">
        <v>200001</v>
      </c>
      <c r="EL261" t="s">
        <v>320</v>
      </c>
      <c r="EM261" t="s">
        <v>321</v>
      </c>
      <c r="EQ261">
        <v>0</v>
      </c>
      <c r="ER261">
        <v>165.95</v>
      </c>
      <c r="ES261">
        <v>0</v>
      </c>
      <c r="ET261">
        <v>0</v>
      </c>
      <c r="EU261">
        <v>0</v>
      </c>
      <c r="EV261">
        <v>165.95</v>
      </c>
      <c r="EW261">
        <v>12.96</v>
      </c>
      <c r="EX261">
        <v>0</v>
      </c>
      <c r="EY261">
        <v>0</v>
      </c>
      <c r="FQ261">
        <v>0</v>
      </c>
      <c r="FR261">
        <f>ROUND(IF(AND(BH261=3,BI261=3),P261,0),1)</f>
        <v>0</v>
      </c>
      <c r="FS261">
        <v>0</v>
      </c>
      <c r="FV261" t="s">
        <v>31</v>
      </c>
      <c r="FW261" t="s">
        <v>32</v>
      </c>
      <c r="FX261">
        <v>65</v>
      </c>
      <c r="FY261">
        <v>40</v>
      </c>
      <c r="GD261">
        <v>0</v>
      </c>
      <c r="GF261">
        <v>-931447527</v>
      </c>
      <c r="GG261">
        <v>2</v>
      </c>
      <c r="GH261">
        <v>1</v>
      </c>
      <c r="GI261">
        <v>4</v>
      </c>
      <c r="GJ261">
        <v>0</v>
      </c>
      <c r="GK261">
        <f>ROUND(R261*(R12)/100,1)</f>
        <v>0</v>
      </c>
      <c r="GL261">
        <f>ROUND(IF(AND(BH261=3,BI261=3,FS261&lt;&gt;0),P261,0),1)</f>
        <v>0</v>
      </c>
      <c r="GM261">
        <f>ROUND(O261+X261+Y261+GK261,1)+GX261</f>
        <v>495.6</v>
      </c>
      <c r="GN261">
        <f>IF(OR(BI261=0,BI261=1),GM261,0)</f>
        <v>0</v>
      </c>
      <c r="GO261">
        <f>IF(BI261=2,GM261,0)</f>
        <v>0</v>
      </c>
      <c r="GP261">
        <f>IF(BI261=4,GM261,0)</f>
        <v>495.6</v>
      </c>
      <c r="GR261">
        <v>0</v>
      </c>
      <c r="GS261">
        <v>3</v>
      </c>
      <c r="GT261">
        <v>0</v>
      </c>
      <c r="GV261">
        <f>ROUND(GT261,6)</f>
        <v>0</v>
      </c>
      <c r="GW261">
        <v>19.96</v>
      </c>
      <c r="GX261">
        <f>ROUND(GV261*GW261*I261,1)</f>
        <v>0</v>
      </c>
      <c r="HA261">
        <v>0</v>
      </c>
      <c r="HB261">
        <v>0</v>
      </c>
      <c r="IK261">
        <v>0</v>
      </c>
    </row>
    <row r="262" spans="1:245" ht="12.75">
      <c r="A262">
        <v>17</v>
      </c>
      <c r="B262">
        <v>1</v>
      </c>
      <c r="C262">
        <f>ROW(SmtRes!A211)</f>
        <v>211</v>
      </c>
      <c r="D262">
        <f>ROW(EtalonRes!A212)</f>
        <v>212</v>
      </c>
      <c r="E262" t="s">
        <v>349</v>
      </c>
      <c r="F262" t="s">
        <v>350</v>
      </c>
      <c r="G262" t="s">
        <v>351</v>
      </c>
      <c r="H262" t="s">
        <v>153</v>
      </c>
      <c r="I262">
        <f>ROUND(8,3)</f>
        <v>8</v>
      </c>
      <c r="J262">
        <v>0</v>
      </c>
      <c r="O262">
        <f>ROUND(CP262,1)</f>
        <v>2494.2</v>
      </c>
      <c r="P262">
        <f>ROUND(CQ262*I262,1)</f>
        <v>0</v>
      </c>
      <c r="Q262">
        <f>ROUND(CR262*I262,1)</f>
        <v>0</v>
      </c>
      <c r="R262">
        <f>ROUND(CS262*I262,1)</f>
        <v>0</v>
      </c>
      <c r="S262">
        <f>ROUND(CT262*I262,1)</f>
        <v>2494.2</v>
      </c>
      <c r="T262">
        <f>ROUND(CU262*I262,1)</f>
        <v>0</v>
      </c>
      <c r="U262">
        <f>CV262*I262</f>
        <v>9.76</v>
      </c>
      <c r="V262">
        <f>CW262*I262</f>
        <v>0</v>
      </c>
      <c r="W262">
        <f>ROUND(CX262*I262,1)</f>
        <v>0</v>
      </c>
      <c r="X262">
        <f t="shared" si="218"/>
        <v>1371.8</v>
      </c>
      <c r="Y262">
        <f t="shared" si="218"/>
        <v>798.1</v>
      </c>
      <c r="AA262">
        <v>42253831</v>
      </c>
      <c r="AB262">
        <f>ROUND((AC262+AD262+AF262),6)</f>
        <v>15.62</v>
      </c>
      <c r="AC262">
        <f>ROUND((ES262),6)</f>
        <v>0</v>
      </c>
      <c r="AD262">
        <f>ROUND((((ET262)-(EU262))+AE262),6)</f>
        <v>0</v>
      </c>
      <c r="AE262">
        <f t="shared" si="219"/>
        <v>0</v>
      </c>
      <c r="AF262">
        <f t="shared" si="219"/>
        <v>15.62</v>
      </c>
      <c r="AG262">
        <f>ROUND((AP262),6)</f>
        <v>0</v>
      </c>
      <c r="AH262">
        <f t="shared" si="220"/>
        <v>1.22</v>
      </c>
      <c r="AI262">
        <f t="shared" si="220"/>
        <v>0</v>
      </c>
      <c r="AJ262">
        <f>ROUND((AS262),6)</f>
        <v>0</v>
      </c>
      <c r="AK262">
        <v>15.62</v>
      </c>
      <c r="AL262">
        <v>0</v>
      </c>
      <c r="AM262">
        <v>0</v>
      </c>
      <c r="AN262">
        <v>0</v>
      </c>
      <c r="AO262">
        <v>15.62</v>
      </c>
      <c r="AP262">
        <v>0</v>
      </c>
      <c r="AQ262">
        <v>1.22</v>
      </c>
      <c r="AR262">
        <v>0</v>
      </c>
      <c r="AS262">
        <v>0</v>
      </c>
      <c r="AT262">
        <v>55</v>
      </c>
      <c r="AU262">
        <v>32</v>
      </c>
      <c r="AV262">
        <v>1</v>
      </c>
      <c r="AW262">
        <v>1</v>
      </c>
      <c r="AZ262">
        <v>1</v>
      </c>
      <c r="BA262">
        <v>19.96</v>
      </c>
      <c r="BB262">
        <v>19.96</v>
      </c>
      <c r="BC262">
        <v>19.96</v>
      </c>
      <c r="BH262">
        <v>0</v>
      </c>
      <c r="BI262">
        <v>4</v>
      </c>
      <c r="BJ262" t="s">
        <v>352</v>
      </c>
      <c r="BM262">
        <v>200001</v>
      </c>
      <c r="BN262">
        <v>0</v>
      </c>
      <c r="BO262" t="s">
        <v>27</v>
      </c>
      <c r="BP262">
        <v>1</v>
      </c>
      <c r="BQ262">
        <v>4</v>
      </c>
      <c r="BR262">
        <v>0</v>
      </c>
      <c r="BS262">
        <v>19.96</v>
      </c>
      <c r="BT262">
        <v>1</v>
      </c>
      <c r="BU262">
        <v>1</v>
      </c>
      <c r="BV262">
        <v>1</v>
      </c>
      <c r="BW262">
        <v>1</v>
      </c>
      <c r="BX262">
        <v>1</v>
      </c>
      <c r="BZ262">
        <v>65</v>
      </c>
      <c r="CA262">
        <v>40</v>
      </c>
      <c r="CF262">
        <v>0</v>
      </c>
      <c r="CG262">
        <v>0</v>
      </c>
      <c r="CM262">
        <v>0</v>
      </c>
      <c r="CO262">
        <v>0</v>
      </c>
      <c r="CP262">
        <f>(P262+Q262+S262)</f>
        <v>2494.2</v>
      </c>
      <c r="CQ262">
        <f>AC262*BC262</f>
        <v>0</v>
      </c>
      <c r="CR262">
        <f>AD262*BB262</f>
        <v>0</v>
      </c>
      <c r="CS262">
        <f>AE262*BS262</f>
        <v>0</v>
      </c>
      <c r="CT262">
        <f>AF262*BA262</f>
        <v>311.7752</v>
      </c>
      <c r="CU262">
        <f t="shared" si="221"/>
        <v>0</v>
      </c>
      <c r="CV262">
        <f t="shared" si="221"/>
        <v>1.22</v>
      </c>
      <c r="CW262">
        <f t="shared" si="221"/>
        <v>0</v>
      </c>
      <c r="CX262">
        <f t="shared" si="221"/>
        <v>0</v>
      </c>
      <c r="CY262">
        <f>(((S262+R262)*AT262)/100)</f>
        <v>1371.81</v>
      </c>
      <c r="CZ262">
        <f>(((S262+R262)*AU262)/100)</f>
        <v>798.1439999999999</v>
      </c>
      <c r="DN262">
        <v>0</v>
      </c>
      <c r="DO262">
        <v>0</v>
      </c>
      <c r="DP262">
        <v>1</v>
      </c>
      <c r="DQ262">
        <v>1</v>
      </c>
      <c r="DU262">
        <v>1013</v>
      </c>
      <c r="DV262" t="s">
        <v>153</v>
      </c>
      <c r="DW262" t="s">
        <v>153</v>
      </c>
      <c r="DX262">
        <v>1</v>
      </c>
      <c r="EE262">
        <v>39125296</v>
      </c>
      <c r="EF262">
        <v>4</v>
      </c>
      <c r="EG262" t="s">
        <v>319</v>
      </c>
      <c r="EH262">
        <v>0</v>
      </c>
      <c r="EJ262">
        <v>4</v>
      </c>
      <c r="EK262">
        <v>200001</v>
      </c>
      <c r="EL262" t="s">
        <v>320</v>
      </c>
      <c r="EM262" t="s">
        <v>321</v>
      </c>
      <c r="EQ262">
        <v>0</v>
      </c>
      <c r="ER262">
        <v>15.62</v>
      </c>
      <c r="ES262">
        <v>0</v>
      </c>
      <c r="ET262">
        <v>0</v>
      </c>
      <c r="EU262">
        <v>0</v>
      </c>
      <c r="EV262">
        <v>15.62</v>
      </c>
      <c r="EW262">
        <v>1.22</v>
      </c>
      <c r="EX262">
        <v>0</v>
      </c>
      <c r="EY262">
        <v>0</v>
      </c>
      <c r="FQ262">
        <v>0</v>
      </c>
      <c r="FR262">
        <f>ROUND(IF(AND(BH262=3,BI262=3),P262,0),1)</f>
        <v>0</v>
      </c>
      <c r="FS262">
        <v>0</v>
      </c>
      <c r="FV262" t="s">
        <v>31</v>
      </c>
      <c r="FW262" t="s">
        <v>32</v>
      </c>
      <c r="FX262">
        <v>65</v>
      </c>
      <c r="FY262">
        <v>40</v>
      </c>
      <c r="GD262">
        <v>0</v>
      </c>
      <c r="GF262">
        <v>-829332442</v>
      </c>
      <c r="GG262">
        <v>2</v>
      </c>
      <c r="GH262">
        <v>1</v>
      </c>
      <c r="GI262">
        <v>4</v>
      </c>
      <c r="GJ262">
        <v>0</v>
      </c>
      <c r="GK262">
        <f>ROUND(R262*(R12)/100,1)</f>
        <v>0</v>
      </c>
      <c r="GL262">
        <f>ROUND(IF(AND(BH262=3,BI262=3,FS262&lt;&gt;0),P262,0),1)</f>
        <v>0</v>
      </c>
      <c r="GM262">
        <f>ROUND(O262+X262+Y262+GK262,1)+GX262</f>
        <v>4664.1</v>
      </c>
      <c r="GN262">
        <f>IF(OR(BI262=0,BI262=1),GM262,0)</f>
        <v>0</v>
      </c>
      <c r="GO262">
        <f>IF(BI262=2,GM262,0)</f>
        <v>0</v>
      </c>
      <c r="GP262">
        <f>IF(BI262=4,GM262,0)</f>
        <v>4664.1</v>
      </c>
      <c r="GR262">
        <v>0</v>
      </c>
      <c r="GS262">
        <v>3</v>
      </c>
      <c r="GT262">
        <v>0</v>
      </c>
      <c r="GV262">
        <f>ROUND(GT262,6)</f>
        <v>0</v>
      </c>
      <c r="GW262">
        <v>19.96</v>
      </c>
      <c r="GX262">
        <f>ROUND(GV262*GW262*I262,1)</f>
        <v>0</v>
      </c>
      <c r="HA262">
        <v>0</v>
      </c>
      <c r="HB262">
        <v>0</v>
      </c>
      <c r="IK262">
        <v>0</v>
      </c>
    </row>
    <row r="263" spans="1:245" ht="12.75">
      <c r="A263">
        <v>17</v>
      </c>
      <c r="B263">
        <v>1</v>
      </c>
      <c r="C263">
        <f>ROW(SmtRes!A213)</f>
        <v>213</v>
      </c>
      <c r="D263">
        <f>ROW(EtalonRes!A214)</f>
        <v>214</v>
      </c>
      <c r="E263" t="s">
        <v>353</v>
      </c>
      <c r="F263" t="s">
        <v>354</v>
      </c>
      <c r="G263" t="s">
        <v>355</v>
      </c>
      <c r="H263" t="s">
        <v>356</v>
      </c>
      <c r="I263">
        <f>ROUND(8,3)</f>
        <v>8</v>
      </c>
      <c r="J263">
        <v>0</v>
      </c>
      <c r="O263">
        <f>ROUND(CP263,1)</f>
        <v>2494.2</v>
      </c>
      <c r="P263">
        <f>ROUND(CQ263*I263,1)</f>
        <v>0</v>
      </c>
      <c r="Q263">
        <f>ROUND(CR263*I263,1)</f>
        <v>0</v>
      </c>
      <c r="R263">
        <f>ROUND(CS263*I263,1)</f>
        <v>0</v>
      </c>
      <c r="S263">
        <f>ROUND(CT263*I263,1)</f>
        <v>2494.2</v>
      </c>
      <c r="T263">
        <f>ROUND(CU263*I263,1)</f>
        <v>0</v>
      </c>
      <c r="U263">
        <f>CV263*I263</f>
        <v>9.76</v>
      </c>
      <c r="V263">
        <f>CW263*I263</f>
        <v>0</v>
      </c>
      <c r="W263">
        <f>ROUND(CX263*I263,1)</f>
        <v>0</v>
      </c>
      <c r="X263">
        <f t="shared" si="218"/>
        <v>1371.8</v>
      </c>
      <c r="Y263">
        <f t="shared" si="218"/>
        <v>798.1</v>
      </c>
      <c r="AA263">
        <v>42253831</v>
      </c>
      <c r="AB263">
        <f>ROUND((AC263+AD263+AF263),6)</f>
        <v>15.62</v>
      </c>
      <c r="AC263">
        <f>ROUND((ES263),6)</f>
        <v>0</v>
      </c>
      <c r="AD263">
        <f>ROUND((((ET263)-(EU263))+AE263),6)</f>
        <v>0</v>
      </c>
      <c r="AE263">
        <f t="shared" si="219"/>
        <v>0</v>
      </c>
      <c r="AF263">
        <f t="shared" si="219"/>
        <v>15.62</v>
      </c>
      <c r="AG263">
        <f>ROUND((AP263),6)</f>
        <v>0</v>
      </c>
      <c r="AH263">
        <f t="shared" si="220"/>
        <v>1.22</v>
      </c>
      <c r="AI263">
        <f t="shared" si="220"/>
        <v>0</v>
      </c>
      <c r="AJ263">
        <f>ROUND((AS263),6)</f>
        <v>0</v>
      </c>
      <c r="AK263">
        <v>15.62</v>
      </c>
      <c r="AL263">
        <v>0</v>
      </c>
      <c r="AM263">
        <v>0</v>
      </c>
      <c r="AN263">
        <v>0</v>
      </c>
      <c r="AO263">
        <v>15.62</v>
      </c>
      <c r="AP263">
        <v>0</v>
      </c>
      <c r="AQ263">
        <v>1.22</v>
      </c>
      <c r="AR263">
        <v>0</v>
      </c>
      <c r="AS263">
        <v>0</v>
      </c>
      <c r="AT263">
        <v>55</v>
      </c>
      <c r="AU263">
        <v>32</v>
      </c>
      <c r="AV263">
        <v>1</v>
      </c>
      <c r="AW263">
        <v>1</v>
      </c>
      <c r="AZ263">
        <v>1</v>
      </c>
      <c r="BA263">
        <v>19.96</v>
      </c>
      <c r="BB263">
        <v>19.96</v>
      </c>
      <c r="BC263">
        <v>19.96</v>
      </c>
      <c r="BH263">
        <v>0</v>
      </c>
      <c r="BI263">
        <v>4</v>
      </c>
      <c r="BJ263" t="s">
        <v>357</v>
      </c>
      <c r="BM263">
        <v>200001</v>
      </c>
      <c r="BN263">
        <v>0</v>
      </c>
      <c r="BO263" t="s">
        <v>27</v>
      </c>
      <c r="BP263">
        <v>1</v>
      </c>
      <c r="BQ263">
        <v>4</v>
      </c>
      <c r="BR263">
        <v>0</v>
      </c>
      <c r="BS263">
        <v>19.96</v>
      </c>
      <c r="BT263">
        <v>1</v>
      </c>
      <c r="BU263">
        <v>1</v>
      </c>
      <c r="BV263">
        <v>1</v>
      </c>
      <c r="BW263">
        <v>1</v>
      </c>
      <c r="BX263">
        <v>1</v>
      </c>
      <c r="BZ263">
        <v>65</v>
      </c>
      <c r="CA263">
        <v>40</v>
      </c>
      <c r="CF263">
        <v>0</v>
      </c>
      <c r="CG263">
        <v>0</v>
      </c>
      <c r="CM263">
        <v>0</v>
      </c>
      <c r="CO263">
        <v>0</v>
      </c>
      <c r="CP263">
        <f>(P263+Q263+S263)</f>
        <v>2494.2</v>
      </c>
      <c r="CQ263">
        <f>AC263*BC263</f>
        <v>0</v>
      </c>
      <c r="CR263">
        <f>AD263*BB263</f>
        <v>0</v>
      </c>
      <c r="CS263">
        <f>AE263*BS263</f>
        <v>0</v>
      </c>
      <c r="CT263">
        <f>AF263*BA263</f>
        <v>311.7752</v>
      </c>
      <c r="CU263">
        <f t="shared" si="221"/>
        <v>0</v>
      </c>
      <c r="CV263">
        <f t="shared" si="221"/>
        <v>1.22</v>
      </c>
      <c r="CW263">
        <f t="shared" si="221"/>
        <v>0</v>
      </c>
      <c r="CX263">
        <f t="shared" si="221"/>
        <v>0</v>
      </c>
      <c r="CY263">
        <f>(((S263+R263)*AT263)/100)</f>
        <v>1371.81</v>
      </c>
      <c r="CZ263">
        <f>(((S263+R263)*AU263)/100)</f>
        <v>798.1439999999999</v>
      </c>
      <c r="DN263">
        <v>0</v>
      </c>
      <c r="DO263">
        <v>0</v>
      </c>
      <c r="DP263">
        <v>1</v>
      </c>
      <c r="DQ263">
        <v>1</v>
      </c>
      <c r="DU263">
        <v>1013</v>
      </c>
      <c r="DV263" t="s">
        <v>356</v>
      </c>
      <c r="DW263" t="s">
        <v>356</v>
      </c>
      <c r="DX263">
        <v>1</v>
      </c>
      <c r="EE263">
        <v>39125296</v>
      </c>
      <c r="EF263">
        <v>4</v>
      </c>
      <c r="EG263" t="s">
        <v>319</v>
      </c>
      <c r="EH263">
        <v>0</v>
      </c>
      <c r="EJ263">
        <v>4</v>
      </c>
      <c r="EK263">
        <v>200001</v>
      </c>
      <c r="EL263" t="s">
        <v>320</v>
      </c>
      <c r="EM263" t="s">
        <v>321</v>
      </c>
      <c r="EQ263">
        <v>0</v>
      </c>
      <c r="ER263">
        <v>15.62</v>
      </c>
      <c r="ES263">
        <v>0</v>
      </c>
      <c r="ET263">
        <v>0</v>
      </c>
      <c r="EU263">
        <v>0</v>
      </c>
      <c r="EV263">
        <v>15.62</v>
      </c>
      <c r="EW263">
        <v>1.22</v>
      </c>
      <c r="EX263">
        <v>0</v>
      </c>
      <c r="EY263">
        <v>0</v>
      </c>
      <c r="FQ263">
        <v>0</v>
      </c>
      <c r="FR263">
        <f>ROUND(IF(AND(BH263=3,BI263=3),P263,0),1)</f>
        <v>0</v>
      </c>
      <c r="FS263">
        <v>0</v>
      </c>
      <c r="FV263" t="s">
        <v>31</v>
      </c>
      <c r="FW263" t="s">
        <v>32</v>
      </c>
      <c r="FX263">
        <v>65</v>
      </c>
      <c r="FY263">
        <v>40</v>
      </c>
      <c r="GD263">
        <v>0</v>
      </c>
      <c r="GF263">
        <v>486724290</v>
      </c>
      <c r="GG263">
        <v>2</v>
      </c>
      <c r="GH263">
        <v>1</v>
      </c>
      <c r="GI263">
        <v>4</v>
      </c>
      <c r="GJ263">
        <v>0</v>
      </c>
      <c r="GK263">
        <f>ROUND(R263*(R12)/100,1)</f>
        <v>0</v>
      </c>
      <c r="GL263">
        <f>ROUND(IF(AND(BH263=3,BI263=3,FS263&lt;&gt;0),P263,0),1)</f>
        <v>0</v>
      </c>
      <c r="GM263">
        <f>ROUND(O263+X263+Y263+GK263,1)+GX263</f>
        <v>4664.1</v>
      </c>
      <c r="GN263">
        <f>IF(OR(BI263=0,BI263=1),GM263,0)</f>
        <v>0</v>
      </c>
      <c r="GO263">
        <f>IF(BI263=2,GM263,0)</f>
        <v>0</v>
      </c>
      <c r="GP263">
        <f>IF(BI263=4,GM263,0)</f>
        <v>4664.1</v>
      </c>
      <c r="GR263">
        <v>0</v>
      </c>
      <c r="GS263">
        <v>3</v>
      </c>
      <c r="GT263">
        <v>0</v>
      </c>
      <c r="GV263">
        <f>ROUND(GT263,6)</f>
        <v>0</v>
      </c>
      <c r="GW263">
        <v>19.96</v>
      </c>
      <c r="GX263">
        <f>ROUND(GV263*GW263*I263,1)</f>
        <v>0</v>
      </c>
      <c r="HA263">
        <v>0</v>
      </c>
      <c r="HB263">
        <v>0</v>
      </c>
      <c r="IK263">
        <v>0</v>
      </c>
    </row>
    <row r="264" spans="1:245" ht="12.75">
      <c r="A264">
        <v>17</v>
      </c>
      <c r="B264">
        <v>1</v>
      </c>
      <c r="C264">
        <f>ROW(SmtRes!A214)</f>
        <v>214</v>
      </c>
      <c r="D264">
        <f>ROW(EtalonRes!A215)</f>
        <v>215</v>
      </c>
      <c r="E264" t="s">
        <v>358</v>
      </c>
      <c r="F264" t="s">
        <v>359</v>
      </c>
      <c r="G264" t="s">
        <v>360</v>
      </c>
      <c r="H264" t="s">
        <v>153</v>
      </c>
      <c r="I264">
        <f>ROUND(8,3)</f>
        <v>8</v>
      </c>
      <c r="J264">
        <v>0</v>
      </c>
      <c r="O264">
        <f>ROUND(CP264,1)</f>
        <v>42310.4</v>
      </c>
      <c r="P264">
        <f>ROUND(CQ264*I264,1)</f>
        <v>0</v>
      </c>
      <c r="Q264">
        <f>ROUND(CR264*I264,1)</f>
        <v>0</v>
      </c>
      <c r="R264">
        <f>ROUND(CS264*I264,1)</f>
        <v>0</v>
      </c>
      <c r="S264">
        <f>ROUND(CT264*I264,1)</f>
        <v>42310.4</v>
      </c>
      <c r="T264">
        <f>ROUND(CU264*I264,1)</f>
        <v>0</v>
      </c>
      <c r="U264">
        <f>CV264*I264</f>
        <v>167.04</v>
      </c>
      <c r="V264">
        <f>CW264*I264</f>
        <v>0</v>
      </c>
      <c r="W264">
        <f>ROUND(CX264*I264,1)</f>
        <v>0</v>
      </c>
      <c r="X264">
        <f t="shared" si="218"/>
        <v>23270.7</v>
      </c>
      <c r="Y264">
        <f t="shared" si="218"/>
        <v>13539.3</v>
      </c>
      <c r="AA264">
        <v>42253831</v>
      </c>
      <c r="AB264">
        <f>ROUND((AC264+AD264+AF264),6)</f>
        <v>264.97</v>
      </c>
      <c r="AC264">
        <f>ROUND((ES264),6)</f>
        <v>0</v>
      </c>
      <c r="AD264">
        <f>ROUND((((ET264)-(EU264))+AE264),6)</f>
        <v>0</v>
      </c>
      <c r="AE264">
        <f t="shared" si="219"/>
        <v>0</v>
      </c>
      <c r="AF264">
        <f t="shared" si="219"/>
        <v>264.97</v>
      </c>
      <c r="AG264">
        <f>ROUND((AP264),6)</f>
        <v>0</v>
      </c>
      <c r="AH264">
        <f t="shared" si="220"/>
        <v>20.88</v>
      </c>
      <c r="AI264">
        <f t="shared" si="220"/>
        <v>0</v>
      </c>
      <c r="AJ264">
        <f>ROUND((AS264),6)</f>
        <v>0</v>
      </c>
      <c r="AK264">
        <v>264.97</v>
      </c>
      <c r="AL264">
        <v>0</v>
      </c>
      <c r="AM264">
        <v>0</v>
      </c>
      <c r="AN264">
        <v>0</v>
      </c>
      <c r="AO264">
        <v>264.97</v>
      </c>
      <c r="AP264">
        <v>0</v>
      </c>
      <c r="AQ264">
        <v>20.88</v>
      </c>
      <c r="AR264">
        <v>0</v>
      </c>
      <c r="AS264">
        <v>0</v>
      </c>
      <c r="AT264">
        <v>55</v>
      </c>
      <c r="AU264">
        <v>32</v>
      </c>
      <c r="AV264">
        <v>1</v>
      </c>
      <c r="AW264">
        <v>1</v>
      </c>
      <c r="AZ264">
        <v>1</v>
      </c>
      <c r="BA264">
        <v>19.96</v>
      </c>
      <c r="BB264">
        <v>19.96</v>
      </c>
      <c r="BC264">
        <v>19.96</v>
      </c>
      <c r="BH264">
        <v>0</v>
      </c>
      <c r="BI264">
        <v>4</v>
      </c>
      <c r="BJ264" t="s">
        <v>361</v>
      </c>
      <c r="BM264">
        <v>200001</v>
      </c>
      <c r="BN264">
        <v>0</v>
      </c>
      <c r="BO264" t="s">
        <v>27</v>
      </c>
      <c r="BP264">
        <v>1</v>
      </c>
      <c r="BQ264">
        <v>4</v>
      </c>
      <c r="BR264">
        <v>0</v>
      </c>
      <c r="BS264">
        <v>19.96</v>
      </c>
      <c r="BT264">
        <v>1</v>
      </c>
      <c r="BU264">
        <v>1</v>
      </c>
      <c r="BV264">
        <v>1</v>
      </c>
      <c r="BW264">
        <v>1</v>
      </c>
      <c r="BX264">
        <v>1</v>
      </c>
      <c r="BZ264">
        <v>65</v>
      </c>
      <c r="CA264">
        <v>40</v>
      </c>
      <c r="CF264">
        <v>0</v>
      </c>
      <c r="CG264">
        <v>0</v>
      </c>
      <c r="CM264">
        <v>0</v>
      </c>
      <c r="CO264">
        <v>0</v>
      </c>
      <c r="CP264">
        <f>(P264+Q264+S264)</f>
        <v>42310.4</v>
      </c>
      <c r="CQ264">
        <f>AC264*BC264</f>
        <v>0</v>
      </c>
      <c r="CR264">
        <f>AD264*BB264</f>
        <v>0</v>
      </c>
      <c r="CS264">
        <f>AE264*BS264</f>
        <v>0</v>
      </c>
      <c r="CT264">
        <f>AF264*BA264</f>
        <v>5288.801200000001</v>
      </c>
      <c r="CU264">
        <f t="shared" si="221"/>
        <v>0</v>
      </c>
      <c r="CV264">
        <f t="shared" si="221"/>
        <v>20.88</v>
      </c>
      <c r="CW264">
        <f t="shared" si="221"/>
        <v>0</v>
      </c>
      <c r="CX264">
        <f t="shared" si="221"/>
        <v>0</v>
      </c>
      <c r="CY264">
        <f>(((S264+R264)*AT264)/100)</f>
        <v>23270.72</v>
      </c>
      <c r="CZ264">
        <f>(((S264+R264)*AU264)/100)</f>
        <v>13539.328000000001</v>
      </c>
      <c r="DN264">
        <v>0</v>
      </c>
      <c r="DO264">
        <v>0</v>
      </c>
      <c r="DP264">
        <v>1</v>
      </c>
      <c r="DQ264">
        <v>1</v>
      </c>
      <c r="DU264">
        <v>1013</v>
      </c>
      <c r="DV264" t="s">
        <v>153</v>
      </c>
      <c r="DW264" t="s">
        <v>153</v>
      </c>
      <c r="DX264">
        <v>1</v>
      </c>
      <c r="EE264">
        <v>39125296</v>
      </c>
      <c r="EF264">
        <v>4</v>
      </c>
      <c r="EG264" t="s">
        <v>319</v>
      </c>
      <c r="EH264">
        <v>0</v>
      </c>
      <c r="EJ264">
        <v>4</v>
      </c>
      <c r="EK264">
        <v>200001</v>
      </c>
      <c r="EL264" t="s">
        <v>320</v>
      </c>
      <c r="EM264" t="s">
        <v>321</v>
      </c>
      <c r="EQ264">
        <v>0</v>
      </c>
      <c r="ER264">
        <v>264.97</v>
      </c>
      <c r="ES264">
        <v>0</v>
      </c>
      <c r="ET264">
        <v>0</v>
      </c>
      <c r="EU264">
        <v>0</v>
      </c>
      <c r="EV264">
        <v>264.97</v>
      </c>
      <c r="EW264">
        <v>20.88</v>
      </c>
      <c r="EX264">
        <v>0</v>
      </c>
      <c r="EY264">
        <v>0</v>
      </c>
      <c r="FQ264">
        <v>0</v>
      </c>
      <c r="FR264">
        <f>ROUND(IF(AND(BH264=3,BI264=3),P264,0),1)</f>
        <v>0</v>
      </c>
      <c r="FS264">
        <v>0</v>
      </c>
      <c r="FV264" t="s">
        <v>31</v>
      </c>
      <c r="FW264" t="s">
        <v>32</v>
      </c>
      <c r="FX264">
        <v>65</v>
      </c>
      <c r="FY264">
        <v>40</v>
      </c>
      <c r="GD264">
        <v>0</v>
      </c>
      <c r="GF264">
        <v>-401712586</v>
      </c>
      <c r="GG264">
        <v>2</v>
      </c>
      <c r="GH264">
        <v>1</v>
      </c>
      <c r="GI264">
        <v>4</v>
      </c>
      <c r="GJ264">
        <v>0</v>
      </c>
      <c r="GK264">
        <f>ROUND(R264*(R12)/100,1)</f>
        <v>0</v>
      </c>
      <c r="GL264">
        <f>ROUND(IF(AND(BH264=3,BI264=3,FS264&lt;&gt;0),P264,0),1)</f>
        <v>0</v>
      </c>
      <c r="GM264">
        <f>ROUND(O264+X264+Y264+GK264,1)+GX264</f>
        <v>79120.4</v>
      </c>
      <c r="GN264">
        <f>IF(OR(BI264=0,BI264=1),GM264,0)</f>
        <v>0</v>
      </c>
      <c r="GO264">
        <f>IF(BI264=2,GM264,0)</f>
        <v>0</v>
      </c>
      <c r="GP264">
        <f>IF(BI264=4,GM264,0)</f>
        <v>79120.4</v>
      </c>
      <c r="GR264">
        <v>0</v>
      </c>
      <c r="GS264">
        <v>3</v>
      </c>
      <c r="GT264">
        <v>0</v>
      </c>
      <c r="GV264">
        <f>ROUND(GT264,6)</f>
        <v>0</v>
      </c>
      <c r="GW264">
        <v>19.96</v>
      </c>
      <c r="GX264">
        <f>ROUND(GV264*GW264*I264,1)</f>
        <v>0</v>
      </c>
      <c r="HA264">
        <v>0</v>
      </c>
      <c r="HB264">
        <v>0</v>
      </c>
      <c r="IK264">
        <v>0</v>
      </c>
    </row>
    <row r="266" spans="1:206" ht="12.75">
      <c r="A266" s="2">
        <v>51</v>
      </c>
      <c r="B266" s="2">
        <f>B257</f>
        <v>1</v>
      </c>
      <c r="C266" s="2">
        <f>A257</f>
        <v>4</v>
      </c>
      <c r="D266" s="2">
        <f>ROW(A257)</f>
        <v>257</v>
      </c>
      <c r="E266" s="2"/>
      <c r="F266" s="2" t="str">
        <f>IF(F257&lt;&gt;"",F257,"")</f>
        <v>Новый раздел</v>
      </c>
      <c r="G266" s="2" t="str">
        <f>IF(G257&lt;&gt;"",G257,"")</f>
        <v>Заземление. Испытание</v>
      </c>
      <c r="H266" s="2">
        <v>0</v>
      </c>
      <c r="I266" s="2"/>
      <c r="J266" s="2"/>
      <c r="K266" s="2"/>
      <c r="L266" s="2"/>
      <c r="M266" s="2"/>
      <c r="N266" s="2"/>
      <c r="O266" s="2">
        <f aca="true" t="shared" si="222" ref="O266:T266">ROUND(AB266,1)</f>
        <v>47563.8</v>
      </c>
      <c r="P266" s="2">
        <f t="shared" si="222"/>
        <v>0</v>
      </c>
      <c r="Q266" s="2">
        <f t="shared" si="222"/>
        <v>0</v>
      </c>
      <c r="R266" s="2">
        <f t="shared" si="222"/>
        <v>0</v>
      </c>
      <c r="S266" s="2">
        <f t="shared" si="222"/>
        <v>47563.8</v>
      </c>
      <c r="T266" s="2">
        <f t="shared" si="222"/>
        <v>0</v>
      </c>
      <c r="U266" s="2">
        <f>AH266</f>
        <v>187.5968</v>
      </c>
      <c r="V266" s="2">
        <f>AI266</f>
        <v>0</v>
      </c>
      <c r="W266" s="2">
        <f>ROUND(AJ266,1)</f>
        <v>0</v>
      </c>
      <c r="X266" s="2">
        <f>ROUND(AK266,1)</f>
        <v>26160.1</v>
      </c>
      <c r="Y266" s="2">
        <f>ROUND(AL266,1)</f>
        <v>15220.3</v>
      </c>
      <c r="Z266" s="2"/>
      <c r="AA266" s="2"/>
      <c r="AB266" s="2">
        <f>ROUND(SUMIF(AA261:AA264,"=42253831",O261:O264),1)</f>
        <v>47563.8</v>
      </c>
      <c r="AC266" s="2">
        <f>ROUND(SUMIF(AA261:AA264,"=42253831",P261:P264),1)</f>
        <v>0</v>
      </c>
      <c r="AD266" s="2">
        <f>ROUND(SUMIF(AA261:AA264,"=42253831",Q261:Q264),1)</f>
        <v>0</v>
      </c>
      <c r="AE266" s="2">
        <f>ROUND(SUMIF(AA261:AA264,"=42253831",R261:R264),1)</f>
        <v>0</v>
      </c>
      <c r="AF266" s="2">
        <f>ROUND(SUMIF(AA261:AA264,"=42253831",S261:S264),1)</f>
        <v>47563.8</v>
      </c>
      <c r="AG266" s="2">
        <f>ROUND(SUMIF(AA261:AA264,"=42253831",T261:T264),1)</f>
        <v>0</v>
      </c>
      <c r="AH266" s="2">
        <f>SUMIF(AA261:AA264,"=42253831",U261:U264)</f>
        <v>187.5968</v>
      </c>
      <c r="AI266" s="2">
        <f>SUMIF(AA261:AA264,"=42253831",V261:V264)</f>
        <v>0</v>
      </c>
      <c r="AJ266" s="2">
        <f>ROUND(SUMIF(AA261:AA264,"=42253831",W261:W264),1)</f>
        <v>0</v>
      </c>
      <c r="AK266" s="2">
        <f>ROUND(SUMIF(AA261:AA264,"=42253831",X261:X264),1)</f>
        <v>26160.1</v>
      </c>
      <c r="AL266" s="2">
        <f>ROUND(SUMIF(AA261:AA264,"=42253831",Y261:Y264),1)</f>
        <v>15220.3</v>
      </c>
      <c r="AM266" s="2"/>
      <c r="AN266" s="2"/>
      <c r="AO266" s="2">
        <f aca="true" t="shared" si="223" ref="AO266:BC266">ROUND(BX266,1)</f>
        <v>0</v>
      </c>
      <c r="AP266" s="2">
        <f t="shared" si="223"/>
        <v>0</v>
      </c>
      <c r="AQ266" s="2">
        <f t="shared" si="223"/>
        <v>0</v>
      </c>
      <c r="AR266" s="2">
        <f t="shared" si="223"/>
        <v>88944.2</v>
      </c>
      <c r="AS266" s="2">
        <f t="shared" si="223"/>
        <v>0</v>
      </c>
      <c r="AT266" s="2">
        <f t="shared" si="223"/>
        <v>0</v>
      </c>
      <c r="AU266" s="2">
        <f t="shared" si="223"/>
        <v>88944.2</v>
      </c>
      <c r="AV266" s="2">
        <f t="shared" si="223"/>
        <v>0</v>
      </c>
      <c r="AW266" s="2">
        <f t="shared" si="223"/>
        <v>0</v>
      </c>
      <c r="AX266" s="2">
        <f t="shared" si="223"/>
        <v>0</v>
      </c>
      <c r="AY266" s="2">
        <f t="shared" si="223"/>
        <v>0</v>
      </c>
      <c r="AZ266" s="2">
        <f t="shared" si="223"/>
        <v>0</v>
      </c>
      <c r="BA266" s="2">
        <f t="shared" si="223"/>
        <v>0</v>
      </c>
      <c r="BB266" s="2">
        <f t="shared" si="223"/>
        <v>0</v>
      </c>
      <c r="BC266" s="2">
        <f t="shared" si="223"/>
        <v>0</v>
      </c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>
        <f>ROUND(SUMIF(AA261:AA264,"=42253831",FQ261:FQ264),1)</f>
        <v>0</v>
      </c>
      <c r="BY266" s="2">
        <f>ROUND(SUMIF(AA261:AA264,"=42253831",FR261:FR264),1)</f>
        <v>0</v>
      </c>
      <c r="BZ266" s="2">
        <f>ROUND(SUMIF(AA261:AA264,"=42253831",GL261:GL264),1)</f>
        <v>0</v>
      </c>
      <c r="CA266" s="2">
        <f>ROUND(SUMIF(AA261:AA264,"=42253831",GM261:GM264),1)</f>
        <v>88944.2</v>
      </c>
      <c r="CB266" s="2">
        <f>ROUND(SUMIF(AA261:AA264,"=42253831",GN261:GN264),1)</f>
        <v>0</v>
      </c>
      <c r="CC266" s="2">
        <f>ROUND(SUMIF(AA261:AA264,"=42253831",GO261:GO264),1)</f>
        <v>0</v>
      </c>
      <c r="CD266" s="2">
        <f>ROUND(SUMIF(AA261:AA264,"=42253831",GP261:GP264),1)</f>
        <v>88944.2</v>
      </c>
      <c r="CE266" s="2">
        <f>AC266-BX266</f>
        <v>0</v>
      </c>
      <c r="CF266" s="2">
        <f>AC266-BY266</f>
        <v>0</v>
      </c>
      <c r="CG266" s="2">
        <f>BX266-BZ266</f>
        <v>0</v>
      </c>
      <c r="CH266" s="2">
        <f>AC266-BX266-BY266+BZ266</f>
        <v>0</v>
      </c>
      <c r="CI266" s="2">
        <f>BY266-BZ266</f>
        <v>0</v>
      </c>
      <c r="CJ266" s="2">
        <f>ROUND(SUMIF(AA261:AA264,"=42253831",GX261:GX264),1)</f>
        <v>0</v>
      </c>
      <c r="CK266" s="2">
        <f>ROUND(SUMIF(AA261:AA264,"=42253831",GY261:GY264),1)</f>
        <v>0</v>
      </c>
      <c r="CL266" s="2">
        <f>ROUND(SUMIF(AA261:AA264,"=42253831",GZ261:GZ264),1)</f>
        <v>0</v>
      </c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>
        <v>0</v>
      </c>
    </row>
    <row r="268" spans="1:23" ht="12.75">
      <c r="A268" s="4">
        <v>50</v>
      </c>
      <c r="B268" s="4">
        <v>1</v>
      </c>
      <c r="C268" s="4">
        <v>0</v>
      </c>
      <c r="D268" s="4">
        <v>1</v>
      </c>
      <c r="E268" s="4">
        <v>201</v>
      </c>
      <c r="F268" s="4">
        <f>ROUND(Source!O266,O268)</f>
        <v>47563.8</v>
      </c>
      <c r="G268" s="4" t="s">
        <v>50</v>
      </c>
      <c r="H268" s="4" t="s">
        <v>51</v>
      </c>
      <c r="I268" s="4"/>
      <c r="J268" s="4"/>
      <c r="K268" s="4">
        <v>201</v>
      </c>
      <c r="L268" s="4">
        <v>1</v>
      </c>
      <c r="M268" s="4">
        <v>0</v>
      </c>
      <c r="N268" s="4" t="s">
        <v>3</v>
      </c>
      <c r="O268" s="4">
        <v>1</v>
      </c>
      <c r="P268" s="4"/>
      <c r="Q268" s="4"/>
      <c r="R268" s="4"/>
      <c r="S268" s="4"/>
      <c r="T268" s="4"/>
      <c r="U268" s="4"/>
      <c r="V268" s="4"/>
      <c r="W268" s="4"/>
    </row>
    <row r="269" spans="1:23" ht="12.75">
      <c r="A269" s="4">
        <v>50</v>
      </c>
      <c r="B269" s="4">
        <v>1</v>
      </c>
      <c r="C269" s="4">
        <v>0</v>
      </c>
      <c r="D269" s="4">
        <v>1</v>
      </c>
      <c r="E269" s="4">
        <v>202</v>
      </c>
      <c r="F269" s="4">
        <f>ROUND(Source!P266,O269)</f>
        <v>0</v>
      </c>
      <c r="G269" s="4" t="s">
        <v>52</v>
      </c>
      <c r="H269" s="4" t="s">
        <v>53</v>
      </c>
      <c r="I269" s="4"/>
      <c r="J269" s="4"/>
      <c r="K269" s="4">
        <v>202</v>
      </c>
      <c r="L269" s="4">
        <v>2</v>
      </c>
      <c r="M269" s="4">
        <v>0</v>
      </c>
      <c r="N269" s="4" t="s">
        <v>3</v>
      </c>
      <c r="O269" s="4">
        <v>1</v>
      </c>
      <c r="P269" s="4"/>
      <c r="Q269" s="4"/>
      <c r="R269" s="4"/>
      <c r="S269" s="4"/>
      <c r="T269" s="4"/>
      <c r="U269" s="4"/>
      <c r="V269" s="4"/>
      <c r="W269" s="4"/>
    </row>
    <row r="270" spans="1:23" ht="12.75">
      <c r="A270" s="4">
        <v>50</v>
      </c>
      <c r="B270" s="4">
        <v>0</v>
      </c>
      <c r="C270" s="4">
        <v>0</v>
      </c>
      <c r="D270" s="4">
        <v>1</v>
      </c>
      <c r="E270" s="4">
        <v>222</v>
      </c>
      <c r="F270" s="4">
        <f>ROUND(Source!AO266,O270)</f>
        <v>0</v>
      </c>
      <c r="G270" s="4" t="s">
        <v>54</v>
      </c>
      <c r="H270" s="4" t="s">
        <v>55</v>
      </c>
      <c r="I270" s="4"/>
      <c r="J270" s="4"/>
      <c r="K270" s="4">
        <v>222</v>
      </c>
      <c r="L270" s="4">
        <v>3</v>
      </c>
      <c r="M270" s="4">
        <v>3</v>
      </c>
      <c r="N270" s="4" t="s">
        <v>3</v>
      </c>
      <c r="O270" s="4">
        <v>1</v>
      </c>
      <c r="P270" s="4"/>
      <c r="Q270" s="4"/>
      <c r="R270" s="4"/>
      <c r="S270" s="4"/>
      <c r="T270" s="4"/>
      <c r="U270" s="4"/>
      <c r="V270" s="4"/>
      <c r="W270" s="4"/>
    </row>
    <row r="271" spans="1:23" ht="12.75">
      <c r="A271" s="4">
        <v>50</v>
      </c>
      <c r="B271" s="4">
        <v>0</v>
      </c>
      <c r="C271" s="4">
        <v>0</v>
      </c>
      <c r="D271" s="4">
        <v>1</v>
      </c>
      <c r="E271" s="4">
        <v>225</v>
      </c>
      <c r="F271" s="4">
        <f>ROUND(Source!AV266,O271)</f>
        <v>0</v>
      </c>
      <c r="G271" s="4" t="s">
        <v>56</v>
      </c>
      <c r="H271" s="4" t="s">
        <v>57</v>
      </c>
      <c r="I271" s="4"/>
      <c r="J271" s="4"/>
      <c r="K271" s="4">
        <v>225</v>
      </c>
      <c r="L271" s="4">
        <v>4</v>
      </c>
      <c r="M271" s="4">
        <v>3</v>
      </c>
      <c r="N271" s="4" t="s">
        <v>3</v>
      </c>
      <c r="O271" s="4">
        <v>1</v>
      </c>
      <c r="P271" s="4"/>
      <c r="Q271" s="4"/>
      <c r="R271" s="4"/>
      <c r="S271" s="4"/>
      <c r="T271" s="4"/>
      <c r="U271" s="4"/>
      <c r="V271" s="4"/>
      <c r="W271" s="4"/>
    </row>
    <row r="272" spans="1:23" ht="12.75">
      <c r="A272" s="4">
        <v>50</v>
      </c>
      <c r="B272" s="4">
        <v>1</v>
      </c>
      <c r="C272" s="4">
        <v>0</v>
      </c>
      <c r="D272" s="4">
        <v>1</v>
      </c>
      <c r="E272" s="4">
        <v>226</v>
      </c>
      <c r="F272" s="4">
        <f>ROUND(Source!AW266,O272)</f>
        <v>0</v>
      </c>
      <c r="G272" s="4" t="s">
        <v>58</v>
      </c>
      <c r="H272" s="4" t="s">
        <v>59</v>
      </c>
      <c r="I272" s="4"/>
      <c r="J272" s="4"/>
      <c r="K272" s="4">
        <v>226</v>
      </c>
      <c r="L272" s="4">
        <v>5</v>
      </c>
      <c r="M272" s="4">
        <v>0</v>
      </c>
      <c r="N272" s="4" t="s">
        <v>3</v>
      </c>
      <c r="O272" s="4">
        <v>1</v>
      </c>
      <c r="P272" s="4"/>
      <c r="Q272" s="4"/>
      <c r="R272" s="4"/>
      <c r="S272" s="4"/>
      <c r="T272" s="4"/>
      <c r="U272" s="4"/>
      <c r="V272" s="4"/>
      <c r="W272" s="4"/>
    </row>
    <row r="273" spans="1:23" ht="12.75">
      <c r="A273" s="4">
        <v>50</v>
      </c>
      <c r="B273" s="4">
        <v>0</v>
      </c>
      <c r="C273" s="4">
        <v>0</v>
      </c>
      <c r="D273" s="4">
        <v>1</v>
      </c>
      <c r="E273" s="4">
        <v>227</v>
      </c>
      <c r="F273" s="4">
        <f>ROUND(Source!AX266,O273)</f>
        <v>0</v>
      </c>
      <c r="G273" s="4" t="s">
        <v>60</v>
      </c>
      <c r="H273" s="4" t="s">
        <v>61</v>
      </c>
      <c r="I273" s="4"/>
      <c r="J273" s="4"/>
      <c r="K273" s="4">
        <v>227</v>
      </c>
      <c r="L273" s="4">
        <v>6</v>
      </c>
      <c r="M273" s="4">
        <v>3</v>
      </c>
      <c r="N273" s="4" t="s">
        <v>3</v>
      </c>
      <c r="O273" s="4">
        <v>1</v>
      </c>
      <c r="P273" s="4"/>
      <c r="Q273" s="4"/>
      <c r="R273" s="4"/>
      <c r="S273" s="4"/>
      <c r="T273" s="4"/>
      <c r="U273" s="4"/>
      <c r="V273" s="4"/>
      <c r="W273" s="4"/>
    </row>
    <row r="274" spans="1:23" ht="12.75">
      <c r="A274" s="4">
        <v>50</v>
      </c>
      <c r="B274" s="4">
        <v>0</v>
      </c>
      <c r="C274" s="4">
        <v>0</v>
      </c>
      <c r="D274" s="4">
        <v>1</v>
      </c>
      <c r="E274" s="4">
        <v>228</v>
      </c>
      <c r="F274" s="4">
        <f>ROUND(Source!AY266,O274)</f>
        <v>0</v>
      </c>
      <c r="G274" s="4" t="s">
        <v>62</v>
      </c>
      <c r="H274" s="4" t="s">
        <v>63</v>
      </c>
      <c r="I274" s="4"/>
      <c r="J274" s="4"/>
      <c r="K274" s="4">
        <v>228</v>
      </c>
      <c r="L274" s="4">
        <v>7</v>
      </c>
      <c r="M274" s="4">
        <v>3</v>
      </c>
      <c r="N274" s="4" t="s">
        <v>3</v>
      </c>
      <c r="O274" s="4">
        <v>1</v>
      </c>
      <c r="P274" s="4"/>
      <c r="Q274" s="4"/>
      <c r="R274" s="4"/>
      <c r="S274" s="4"/>
      <c r="T274" s="4"/>
      <c r="U274" s="4"/>
      <c r="V274" s="4"/>
      <c r="W274" s="4"/>
    </row>
    <row r="275" spans="1:23" ht="12.75">
      <c r="A275" s="4">
        <v>50</v>
      </c>
      <c r="B275" s="4">
        <v>1</v>
      </c>
      <c r="C275" s="4">
        <v>0</v>
      </c>
      <c r="D275" s="4">
        <v>1</v>
      </c>
      <c r="E275" s="4">
        <v>216</v>
      </c>
      <c r="F275" s="4">
        <f>ROUND(Source!AP266,O275)</f>
        <v>0</v>
      </c>
      <c r="G275" s="4" t="s">
        <v>64</v>
      </c>
      <c r="H275" s="4" t="s">
        <v>65</v>
      </c>
      <c r="I275" s="4"/>
      <c r="J275" s="4"/>
      <c r="K275" s="4">
        <v>216</v>
      </c>
      <c r="L275" s="4">
        <v>8</v>
      </c>
      <c r="M275" s="4">
        <v>0</v>
      </c>
      <c r="N275" s="4" t="s">
        <v>3</v>
      </c>
      <c r="O275" s="4">
        <v>1</v>
      </c>
      <c r="P275" s="4"/>
      <c r="Q275" s="4"/>
      <c r="R275" s="4"/>
      <c r="S275" s="4"/>
      <c r="T275" s="4"/>
      <c r="U275" s="4"/>
      <c r="V275" s="4"/>
      <c r="W275" s="4"/>
    </row>
    <row r="276" spans="1:23" ht="12.75">
      <c r="A276" s="4">
        <v>50</v>
      </c>
      <c r="B276" s="4">
        <v>0</v>
      </c>
      <c r="C276" s="4">
        <v>0</v>
      </c>
      <c r="D276" s="4">
        <v>1</v>
      </c>
      <c r="E276" s="4">
        <v>223</v>
      </c>
      <c r="F276" s="4">
        <f>ROUND(Source!AQ266,O276)</f>
        <v>0</v>
      </c>
      <c r="G276" s="4" t="s">
        <v>66</v>
      </c>
      <c r="H276" s="4" t="s">
        <v>67</v>
      </c>
      <c r="I276" s="4"/>
      <c r="J276" s="4"/>
      <c r="K276" s="4">
        <v>223</v>
      </c>
      <c r="L276" s="4">
        <v>9</v>
      </c>
      <c r="M276" s="4">
        <v>3</v>
      </c>
      <c r="N276" s="4" t="s">
        <v>3</v>
      </c>
      <c r="O276" s="4">
        <v>1</v>
      </c>
      <c r="P276" s="4"/>
      <c r="Q276" s="4"/>
      <c r="R276" s="4"/>
      <c r="S276" s="4"/>
      <c r="T276" s="4"/>
      <c r="U276" s="4"/>
      <c r="V276" s="4"/>
      <c r="W276" s="4"/>
    </row>
    <row r="277" spans="1:23" ht="12.75">
      <c r="A277" s="4">
        <v>50</v>
      </c>
      <c r="B277" s="4">
        <v>0</v>
      </c>
      <c r="C277" s="4">
        <v>0</v>
      </c>
      <c r="D277" s="4">
        <v>1</v>
      </c>
      <c r="E277" s="4">
        <v>229</v>
      </c>
      <c r="F277" s="4">
        <f>ROUND(Source!AZ266,O277)</f>
        <v>0</v>
      </c>
      <c r="G277" s="4" t="s">
        <v>68</v>
      </c>
      <c r="H277" s="4" t="s">
        <v>69</v>
      </c>
      <c r="I277" s="4"/>
      <c r="J277" s="4"/>
      <c r="K277" s="4">
        <v>229</v>
      </c>
      <c r="L277" s="4">
        <v>10</v>
      </c>
      <c r="M277" s="4">
        <v>3</v>
      </c>
      <c r="N277" s="4" t="s">
        <v>3</v>
      </c>
      <c r="O277" s="4">
        <v>1</v>
      </c>
      <c r="P277" s="4"/>
      <c r="Q277" s="4"/>
      <c r="R277" s="4"/>
      <c r="S277" s="4"/>
      <c r="T277" s="4"/>
      <c r="U277" s="4"/>
      <c r="V277" s="4"/>
      <c r="W277" s="4"/>
    </row>
    <row r="278" spans="1:23" ht="12.75">
      <c r="A278" s="4">
        <v>50</v>
      </c>
      <c r="B278" s="4">
        <v>1</v>
      </c>
      <c r="C278" s="4">
        <v>0</v>
      </c>
      <c r="D278" s="4">
        <v>1</v>
      </c>
      <c r="E278" s="4">
        <v>203</v>
      </c>
      <c r="F278" s="4">
        <f>ROUND(Source!Q266,O278)</f>
        <v>0</v>
      </c>
      <c r="G278" s="4" t="s">
        <v>70</v>
      </c>
      <c r="H278" s="4" t="s">
        <v>71</v>
      </c>
      <c r="I278" s="4"/>
      <c r="J278" s="4"/>
      <c r="K278" s="4">
        <v>203</v>
      </c>
      <c r="L278" s="4">
        <v>11</v>
      </c>
      <c r="M278" s="4">
        <v>0</v>
      </c>
      <c r="N278" s="4" t="s">
        <v>3</v>
      </c>
      <c r="O278" s="4">
        <v>1</v>
      </c>
      <c r="P278" s="4"/>
      <c r="Q278" s="4"/>
      <c r="R278" s="4"/>
      <c r="S278" s="4"/>
      <c r="T278" s="4"/>
      <c r="U278" s="4"/>
      <c r="V278" s="4"/>
      <c r="W278" s="4"/>
    </row>
    <row r="279" spans="1:23" ht="12.75">
      <c r="A279" s="4">
        <v>50</v>
      </c>
      <c r="B279" s="4">
        <v>0</v>
      </c>
      <c r="C279" s="4">
        <v>0</v>
      </c>
      <c r="D279" s="4">
        <v>1</v>
      </c>
      <c r="E279" s="4">
        <v>231</v>
      </c>
      <c r="F279" s="4">
        <f>ROUND(Source!BB266,O279)</f>
        <v>0</v>
      </c>
      <c r="G279" s="4" t="s">
        <v>72</v>
      </c>
      <c r="H279" s="4" t="s">
        <v>73</v>
      </c>
      <c r="I279" s="4"/>
      <c r="J279" s="4"/>
      <c r="K279" s="4">
        <v>231</v>
      </c>
      <c r="L279" s="4">
        <v>12</v>
      </c>
      <c r="M279" s="4">
        <v>3</v>
      </c>
      <c r="N279" s="4" t="s">
        <v>3</v>
      </c>
      <c r="O279" s="4">
        <v>1</v>
      </c>
      <c r="P279" s="4"/>
      <c r="Q279" s="4"/>
      <c r="R279" s="4"/>
      <c r="S279" s="4"/>
      <c r="T279" s="4"/>
      <c r="U279" s="4"/>
      <c r="V279" s="4"/>
      <c r="W279" s="4"/>
    </row>
    <row r="280" spans="1:23" ht="12.75">
      <c r="A280" s="4">
        <v>50</v>
      </c>
      <c r="B280" s="4">
        <v>1</v>
      </c>
      <c r="C280" s="4">
        <v>0</v>
      </c>
      <c r="D280" s="4">
        <v>1</v>
      </c>
      <c r="E280" s="4">
        <v>204</v>
      </c>
      <c r="F280" s="4">
        <f>ROUND(Source!R266,O280)</f>
        <v>0</v>
      </c>
      <c r="G280" s="4" t="s">
        <v>74</v>
      </c>
      <c r="H280" s="4" t="s">
        <v>75</v>
      </c>
      <c r="I280" s="4"/>
      <c r="J280" s="4"/>
      <c r="K280" s="4">
        <v>204</v>
      </c>
      <c r="L280" s="4">
        <v>13</v>
      </c>
      <c r="M280" s="4">
        <v>0</v>
      </c>
      <c r="N280" s="4" t="s">
        <v>3</v>
      </c>
      <c r="O280" s="4">
        <v>1</v>
      </c>
      <c r="P280" s="4"/>
      <c r="Q280" s="4"/>
      <c r="R280" s="4"/>
      <c r="S280" s="4"/>
      <c r="T280" s="4"/>
      <c r="U280" s="4"/>
      <c r="V280" s="4"/>
      <c r="W280" s="4"/>
    </row>
    <row r="281" spans="1:23" ht="12.75">
      <c r="A281" s="4">
        <v>50</v>
      </c>
      <c r="B281" s="4">
        <v>1</v>
      </c>
      <c r="C281" s="4">
        <v>0</v>
      </c>
      <c r="D281" s="4">
        <v>1</v>
      </c>
      <c r="E281" s="4">
        <v>205</v>
      </c>
      <c r="F281" s="4">
        <f>ROUND(Source!S266,O281)</f>
        <v>47563.8</v>
      </c>
      <c r="G281" s="4" t="s">
        <v>76</v>
      </c>
      <c r="H281" s="4" t="s">
        <v>77</v>
      </c>
      <c r="I281" s="4"/>
      <c r="J281" s="4"/>
      <c r="K281" s="4">
        <v>205</v>
      </c>
      <c r="L281" s="4">
        <v>14</v>
      </c>
      <c r="M281" s="4">
        <v>0</v>
      </c>
      <c r="N281" s="4" t="s">
        <v>3</v>
      </c>
      <c r="O281" s="4">
        <v>1</v>
      </c>
      <c r="P281" s="4"/>
      <c r="Q281" s="4"/>
      <c r="R281" s="4"/>
      <c r="S281" s="4"/>
      <c r="T281" s="4"/>
      <c r="U281" s="4"/>
      <c r="V281" s="4"/>
      <c r="W281" s="4"/>
    </row>
    <row r="282" spans="1:23" ht="12.75">
      <c r="A282" s="4">
        <v>50</v>
      </c>
      <c r="B282" s="4">
        <v>0</v>
      </c>
      <c r="C282" s="4">
        <v>0</v>
      </c>
      <c r="D282" s="4">
        <v>1</v>
      </c>
      <c r="E282" s="4">
        <v>232</v>
      </c>
      <c r="F282" s="4">
        <f>ROUND(Source!BC266,O282)</f>
        <v>0</v>
      </c>
      <c r="G282" s="4" t="s">
        <v>78</v>
      </c>
      <c r="H282" s="4" t="s">
        <v>79</v>
      </c>
      <c r="I282" s="4"/>
      <c r="J282" s="4"/>
      <c r="K282" s="4">
        <v>232</v>
      </c>
      <c r="L282" s="4">
        <v>15</v>
      </c>
      <c r="M282" s="4">
        <v>3</v>
      </c>
      <c r="N282" s="4" t="s">
        <v>3</v>
      </c>
      <c r="O282" s="4">
        <v>1</v>
      </c>
      <c r="P282" s="4"/>
      <c r="Q282" s="4"/>
      <c r="R282" s="4"/>
      <c r="S282" s="4"/>
      <c r="T282" s="4"/>
      <c r="U282" s="4"/>
      <c r="V282" s="4"/>
      <c r="W282" s="4"/>
    </row>
    <row r="283" spans="1:23" ht="12.75">
      <c r="A283" s="4">
        <v>50</v>
      </c>
      <c r="B283" s="4">
        <v>1</v>
      </c>
      <c r="C283" s="4">
        <v>0</v>
      </c>
      <c r="D283" s="4">
        <v>1</v>
      </c>
      <c r="E283" s="4">
        <v>214</v>
      </c>
      <c r="F283" s="4">
        <f>ROUND(Source!AS266,O283)</f>
        <v>0</v>
      </c>
      <c r="G283" s="4" t="s">
        <v>80</v>
      </c>
      <c r="H283" s="4" t="s">
        <v>81</v>
      </c>
      <c r="I283" s="4"/>
      <c r="J283" s="4"/>
      <c r="K283" s="4">
        <v>214</v>
      </c>
      <c r="L283" s="4">
        <v>16</v>
      </c>
      <c r="M283" s="4">
        <v>0</v>
      </c>
      <c r="N283" s="4" t="s">
        <v>3</v>
      </c>
      <c r="O283" s="4">
        <v>1</v>
      </c>
      <c r="P283" s="4"/>
      <c r="Q283" s="4"/>
      <c r="R283" s="4"/>
      <c r="S283" s="4"/>
      <c r="T283" s="4"/>
      <c r="U283" s="4"/>
      <c r="V283" s="4"/>
      <c r="W283" s="4"/>
    </row>
    <row r="284" spans="1:23" ht="12.75">
      <c r="A284" s="4">
        <v>50</v>
      </c>
      <c r="B284" s="4">
        <v>1</v>
      </c>
      <c r="C284" s="4">
        <v>0</v>
      </c>
      <c r="D284" s="4">
        <v>1</v>
      </c>
      <c r="E284" s="4">
        <v>215</v>
      </c>
      <c r="F284" s="4">
        <f>ROUND(Source!AT266,O284)</f>
        <v>0</v>
      </c>
      <c r="G284" s="4" t="s">
        <v>82</v>
      </c>
      <c r="H284" s="4" t="s">
        <v>83</v>
      </c>
      <c r="I284" s="4"/>
      <c r="J284" s="4"/>
      <c r="K284" s="4">
        <v>215</v>
      </c>
      <c r="L284" s="4">
        <v>17</v>
      </c>
      <c r="M284" s="4">
        <v>0</v>
      </c>
      <c r="N284" s="4" t="s">
        <v>3</v>
      </c>
      <c r="O284" s="4">
        <v>1</v>
      </c>
      <c r="P284" s="4"/>
      <c r="Q284" s="4"/>
      <c r="R284" s="4"/>
      <c r="S284" s="4"/>
      <c r="T284" s="4"/>
      <c r="U284" s="4"/>
      <c r="V284" s="4"/>
      <c r="W284" s="4"/>
    </row>
    <row r="285" spans="1:23" ht="12.75">
      <c r="A285" s="4">
        <v>50</v>
      </c>
      <c r="B285" s="4">
        <v>1</v>
      </c>
      <c r="C285" s="4">
        <v>0</v>
      </c>
      <c r="D285" s="4">
        <v>1</v>
      </c>
      <c r="E285" s="4">
        <v>217</v>
      </c>
      <c r="F285" s="4">
        <f>ROUND(Source!AU266,O285)</f>
        <v>88944.2</v>
      </c>
      <c r="G285" s="4" t="s">
        <v>84</v>
      </c>
      <c r="H285" s="4" t="s">
        <v>85</v>
      </c>
      <c r="I285" s="4"/>
      <c r="J285" s="4"/>
      <c r="K285" s="4">
        <v>217</v>
      </c>
      <c r="L285" s="4">
        <v>18</v>
      </c>
      <c r="M285" s="4">
        <v>0</v>
      </c>
      <c r="N285" s="4" t="s">
        <v>3</v>
      </c>
      <c r="O285" s="4">
        <v>1</v>
      </c>
      <c r="P285" s="4"/>
      <c r="Q285" s="4"/>
      <c r="R285" s="4"/>
      <c r="S285" s="4"/>
      <c r="T285" s="4"/>
      <c r="U285" s="4"/>
      <c r="V285" s="4"/>
      <c r="W285" s="4"/>
    </row>
    <row r="286" spans="1:23" ht="12.75">
      <c r="A286" s="4">
        <v>50</v>
      </c>
      <c r="B286" s="4">
        <v>0</v>
      </c>
      <c r="C286" s="4">
        <v>0</v>
      </c>
      <c r="D286" s="4">
        <v>1</v>
      </c>
      <c r="E286" s="4">
        <v>230</v>
      </c>
      <c r="F286" s="4">
        <f>ROUND(Source!BA266,O286)</f>
        <v>0</v>
      </c>
      <c r="G286" s="4" t="s">
        <v>86</v>
      </c>
      <c r="H286" s="4" t="s">
        <v>87</v>
      </c>
      <c r="I286" s="4"/>
      <c r="J286" s="4"/>
      <c r="K286" s="4">
        <v>230</v>
      </c>
      <c r="L286" s="4">
        <v>19</v>
      </c>
      <c r="M286" s="4">
        <v>3</v>
      </c>
      <c r="N286" s="4" t="s">
        <v>3</v>
      </c>
      <c r="O286" s="4">
        <v>1</v>
      </c>
      <c r="P286" s="4"/>
      <c r="Q286" s="4"/>
      <c r="R286" s="4"/>
      <c r="S286" s="4"/>
      <c r="T286" s="4"/>
      <c r="U286" s="4"/>
      <c r="V286" s="4"/>
      <c r="W286" s="4"/>
    </row>
    <row r="287" spans="1:23" ht="12.75">
      <c r="A287" s="4">
        <v>50</v>
      </c>
      <c r="B287" s="4">
        <v>0</v>
      </c>
      <c r="C287" s="4">
        <v>0</v>
      </c>
      <c r="D287" s="4">
        <v>1</v>
      </c>
      <c r="E287" s="4">
        <v>206</v>
      </c>
      <c r="F287" s="4">
        <f>ROUND(Source!T266,O287)</f>
        <v>0</v>
      </c>
      <c r="G287" s="4" t="s">
        <v>88</v>
      </c>
      <c r="H287" s="4" t="s">
        <v>89</v>
      </c>
      <c r="I287" s="4"/>
      <c r="J287" s="4"/>
      <c r="K287" s="4">
        <v>206</v>
      </c>
      <c r="L287" s="4">
        <v>20</v>
      </c>
      <c r="M287" s="4">
        <v>3</v>
      </c>
      <c r="N287" s="4" t="s">
        <v>3</v>
      </c>
      <c r="O287" s="4">
        <v>1</v>
      </c>
      <c r="P287" s="4"/>
      <c r="Q287" s="4"/>
      <c r="R287" s="4"/>
      <c r="S287" s="4"/>
      <c r="T287" s="4"/>
      <c r="U287" s="4"/>
      <c r="V287" s="4"/>
      <c r="W287" s="4"/>
    </row>
    <row r="288" spans="1:23" ht="12.75">
      <c r="A288" s="4">
        <v>50</v>
      </c>
      <c r="B288" s="4">
        <v>1</v>
      </c>
      <c r="C288" s="4">
        <v>0</v>
      </c>
      <c r="D288" s="4">
        <v>1</v>
      </c>
      <c r="E288" s="4">
        <v>207</v>
      </c>
      <c r="F288" s="4">
        <f>Source!U266</f>
        <v>187.5968</v>
      </c>
      <c r="G288" s="4" t="s">
        <v>90</v>
      </c>
      <c r="H288" s="4" t="s">
        <v>91</v>
      </c>
      <c r="I288" s="4"/>
      <c r="J288" s="4"/>
      <c r="K288" s="4">
        <v>207</v>
      </c>
      <c r="L288" s="4">
        <v>21</v>
      </c>
      <c r="M288" s="4">
        <v>0</v>
      </c>
      <c r="N288" s="4" t="s">
        <v>3</v>
      </c>
      <c r="O288" s="4">
        <v>-1</v>
      </c>
      <c r="P288" s="4"/>
      <c r="Q288" s="4"/>
      <c r="R288" s="4"/>
      <c r="S288" s="4"/>
      <c r="T288" s="4"/>
      <c r="U288" s="4"/>
      <c r="V288" s="4"/>
      <c r="W288" s="4"/>
    </row>
    <row r="289" spans="1:23" ht="12.75">
      <c r="A289" s="4">
        <v>50</v>
      </c>
      <c r="B289" s="4">
        <v>1</v>
      </c>
      <c r="C289" s="4">
        <v>0</v>
      </c>
      <c r="D289" s="4">
        <v>1</v>
      </c>
      <c r="E289" s="4">
        <v>208</v>
      </c>
      <c r="F289" s="4">
        <f>Source!V266</f>
        <v>0</v>
      </c>
      <c r="G289" s="4" t="s">
        <v>92</v>
      </c>
      <c r="H289" s="4" t="s">
        <v>93</v>
      </c>
      <c r="I289" s="4"/>
      <c r="J289" s="4"/>
      <c r="K289" s="4">
        <v>208</v>
      </c>
      <c r="L289" s="4">
        <v>22</v>
      </c>
      <c r="M289" s="4">
        <v>0</v>
      </c>
      <c r="N289" s="4" t="s">
        <v>3</v>
      </c>
      <c r="O289" s="4">
        <v>-1</v>
      </c>
      <c r="P289" s="4"/>
      <c r="Q289" s="4"/>
      <c r="R289" s="4"/>
      <c r="S289" s="4"/>
      <c r="T289" s="4"/>
      <c r="U289" s="4"/>
      <c r="V289" s="4"/>
      <c r="W289" s="4"/>
    </row>
    <row r="290" spans="1:23" ht="12.75">
      <c r="A290" s="4">
        <v>50</v>
      </c>
      <c r="B290" s="4">
        <v>0</v>
      </c>
      <c r="C290" s="4">
        <v>0</v>
      </c>
      <c r="D290" s="4">
        <v>1</v>
      </c>
      <c r="E290" s="4">
        <v>209</v>
      </c>
      <c r="F290" s="4">
        <f>ROUND(Source!W266,O290)</f>
        <v>0</v>
      </c>
      <c r="G290" s="4" t="s">
        <v>94</v>
      </c>
      <c r="H290" s="4" t="s">
        <v>95</v>
      </c>
      <c r="I290" s="4"/>
      <c r="J290" s="4"/>
      <c r="K290" s="4">
        <v>209</v>
      </c>
      <c r="L290" s="4">
        <v>23</v>
      </c>
      <c r="M290" s="4">
        <v>3</v>
      </c>
      <c r="N290" s="4" t="s">
        <v>3</v>
      </c>
      <c r="O290" s="4">
        <v>1</v>
      </c>
      <c r="P290" s="4"/>
      <c r="Q290" s="4"/>
      <c r="R290" s="4"/>
      <c r="S290" s="4"/>
      <c r="T290" s="4"/>
      <c r="U290" s="4"/>
      <c r="V290" s="4"/>
      <c r="W290" s="4"/>
    </row>
    <row r="291" spans="1:23" ht="12.75">
      <c r="A291" s="4">
        <v>50</v>
      </c>
      <c r="B291" s="4">
        <v>1</v>
      </c>
      <c r="C291" s="4">
        <v>0</v>
      </c>
      <c r="D291" s="4">
        <v>1</v>
      </c>
      <c r="E291" s="4">
        <v>210</v>
      </c>
      <c r="F291" s="4">
        <f>ROUND(Source!X266,O291)</f>
        <v>26160.1</v>
      </c>
      <c r="G291" s="4" t="s">
        <v>96</v>
      </c>
      <c r="H291" s="4" t="s">
        <v>97</v>
      </c>
      <c r="I291" s="4"/>
      <c r="J291" s="4"/>
      <c r="K291" s="4">
        <v>210</v>
      </c>
      <c r="L291" s="4">
        <v>24</v>
      </c>
      <c r="M291" s="4">
        <v>0</v>
      </c>
      <c r="N291" s="4" t="s">
        <v>3</v>
      </c>
      <c r="O291" s="4">
        <v>1</v>
      </c>
      <c r="P291" s="4"/>
      <c r="Q291" s="4"/>
      <c r="R291" s="4"/>
      <c r="S291" s="4"/>
      <c r="T291" s="4"/>
      <c r="U291" s="4"/>
      <c r="V291" s="4"/>
      <c r="W291" s="4"/>
    </row>
    <row r="292" spans="1:23" ht="12.75">
      <c r="A292" s="4">
        <v>50</v>
      </c>
      <c r="B292" s="4">
        <v>1</v>
      </c>
      <c r="C292" s="4">
        <v>0</v>
      </c>
      <c r="D292" s="4">
        <v>1</v>
      </c>
      <c r="E292" s="4">
        <v>211</v>
      </c>
      <c r="F292" s="4">
        <f>ROUND(Source!Y266,O292)</f>
        <v>15220.3</v>
      </c>
      <c r="G292" s="4" t="s">
        <v>98</v>
      </c>
      <c r="H292" s="4" t="s">
        <v>99</v>
      </c>
      <c r="I292" s="4"/>
      <c r="J292" s="4"/>
      <c r="K292" s="4">
        <v>211</v>
      </c>
      <c r="L292" s="4">
        <v>25</v>
      </c>
      <c r="M292" s="4">
        <v>0</v>
      </c>
      <c r="N292" s="4" t="s">
        <v>3</v>
      </c>
      <c r="O292" s="4">
        <v>1</v>
      </c>
      <c r="P292" s="4"/>
      <c r="Q292" s="4"/>
      <c r="R292" s="4"/>
      <c r="S292" s="4"/>
      <c r="T292" s="4"/>
      <c r="U292" s="4"/>
      <c r="V292" s="4"/>
      <c r="W292" s="4"/>
    </row>
    <row r="293" spans="1:23" ht="12.75">
      <c r="A293" s="4">
        <v>50</v>
      </c>
      <c r="B293" s="4">
        <v>1</v>
      </c>
      <c r="C293" s="4">
        <v>0</v>
      </c>
      <c r="D293" s="4">
        <v>1</v>
      </c>
      <c r="E293" s="4">
        <v>224</v>
      </c>
      <c r="F293" s="4">
        <f>ROUND(Source!AR266,O293)</f>
        <v>88944.2</v>
      </c>
      <c r="G293" s="4" t="s">
        <v>100</v>
      </c>
      <c r="H293" s="4" t="s">
        <v>101</v>
      </c>
      <c r="I293" s="4"/>
      <c r="J293" s="4"/>
      <c r="K293" s="4">
        <v>224</v>
      </c>
      <c r="L293" s="4">
        <v>26</v>
      </c>
      <c r="M293" s="4">
        <v>0</v>
      </c>
      <c r="N293" s="4" t="s">
        <v>3</v>
      </c>
      <c r="O293" s="4">
        <v>1</v>
      </c>
      <c r="P293" s="4"/>
      <c r="Q293" s="4"/>
      <c r="R293" s="4"/>
      <c r="S293" s="4"/>
      <c r="T293" s="4"/>
      <c r="U293" s="4"/>
      <c r="V293" s="4"/>
      <c r="W293" s="4"/>
    </row>
    <row r="295" spans="1:88" ht="12.75">
      <c r="A295" s="1">
        <v>4</v>
      </c>
      <c r="B295" s="1">
        <v>1</v>
      </c>
      <c r="C295" s="1"/>
      <c r="D295" s="1">
        <f>ROW(A306)</f>
        <v>306</v>
      </c>
      <c r="E295" s="1"/>
      <c r="F295" s="1" t="s">
        <v>20</v>
      </c>
      <c r="G295" s="1" t="s">
        <v>362</v>
      </c>
      <c r="H295" s="1" t="s">
        <v>3</v>
      </c>
      <c r="I295" s="1">
        <v>0</v>
      </c>
      <c r="J295" s="1"/>
      <c r="K295" s="1">
        <v>-1</v>
      </c>
      <c r="L295" s="1"/>
      <c r="M295" s="1"/>
      <c r="N295" s="1"/>
      <c r="O295" s="1"/>
      <c r="P295" s="1"/>
      <c r="Q295" s="1"/>
      <c r="R295" s="1"/>
      <c r="S295" s="1"/>
      <c r="T295" s="1"/>
      <c r="U295" s="1" t="s">
        <v>3</v>
      </c>
      <c r="V295" s="1">
        <v>0</v>
      </c>
      <c r="W295" s="1"/>
      <c r="X295" s="1"/>
      <c r="Y295" s="1"/>
      <c r="Z295" s="1"/>
      <c r="AA295" s="1"/>
      <c r="AB295" s="1" t="s">
        <v>3</v>
      </c>
      <c r="AC295" s="1" t="s">
        <v>3</v>
      </c>
      <c r="AD295" s="1" t="s">
        <v>3</v>
      </c>
      <c r="AE295" s="1" t="s">
        <v>3</v>
      </c>
      <c r="AF295" s="1" t="s">
        <v>3</v>
      </c>
      <c r="AG295" s="1" t="s">
        <v>3</v>
      </c>
      <c r="AH295" s="1"/>
      <c r="AI295" s="1"/>
      <c r="AJ295" s="1"/>
      <c r="AK295" s="1"/>
      <c r="AL295" s="1"/>
      <c r="AM295" s="1"/>
      <c r="AN295" s="1"/>
      <c r="AO295" s="1"/>
      <c r="AP295" s="1" t="s">
        <v>3</v>
      </c>
      <c r="AQ295" s="1" t="s">
        <v>3</v>
      </c>
      <c r="AR295" s="1" t="s">
        <v>3</v>
      </c>
      <c r="AS295" s="1"/>
      <c r="AT295" s="1"/>
      <c r="AU295" s="1"/>
      <c r="AV295" s="1"/>
      <c r="AW295" s="1"/>
      <c r="AX295" s="1"/>
      <c r="AY295" s="1"/>
      <c r="AZ295" s="1" t="s">
        <v>3</v>
      </c>
      <c r="BA295" s="1"/>
      <c r="BB295" s="1" t="s">
        <v>3</v>
      </c>
      <c r="BC295" s="1" t="s">
        <v>3</v>
      </c>
      <c r="BD295" s="1" t="s">
        <v>3</v>
      </c>
      <c r="BE295" s="1" t="s">
        <v>3</v>
      </c>
      <c r="BF295" s="1" t="s">
        <v>3</v>
      </c>
      <c r="BG295" s="1" t="s">
        <v>3</v>
      </c>
      <c r="BH295" s="1" t="s">
        <v>3</v>
      </c>
      <c r="BI295" s="1" t="s">
        <v>3</v>
      </c>
      <c r="BJ295" s="1" t="s">
        <v>3</v>
      </c>
      <c r="BK295" s="1" t="s">
        <v>3</v>
      </c>
      <c r="BL295" s="1" t="s">
        <v>3</v>
      </c>
      <c r="BM295" s="1" t="s">
        <v>3</v>
      </c>
      <c r="BN295" s="1" t="s">
        <v>3</v>
      </c>
      <c r="BO295" s="1" t="s">
        <v>3</v>
      </c>
      <c r="BP295" s="1" t="s">
        <v>3</v>
      </c>
      <c r="BQ295" s="1"/>
      <c r="BR295" s="1"/>
      <c r="BS295" s="1"/>
      <c r="BT295" s="1"/>
      <c r="BU295" s="1"/>
      <c r="BV295" s="1"/>
      <c r="BW295" s="1"/>
      <c r="BX295" s="1">
        <v>0</v>
      </c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>
        <v>0</v>
      </c>
    </row>
    <row r="297" spans="1:206" ht="12.75">
      <c r="A297" s="2">
        <v>52</v>
      </c>
      <c r="B297" s="2">
        <f aca="true" t="shared" si="224" ref="B297:G297">B306</f>
        <v>1</v>
      </c>
      <c r="C297" s="2">
        <f t="shared" si="224"/>
        <v>4</v>
      </c>
      <c r="D297" s="2">
        <f t="shared" si="224"/>
        <v>295</v>
      </c>
      <c r="E297" s="2">
        <f t="shared" si="224"/>
        <v>0</v>
      </c>
      <c r="F297" s="2" t="str">
        <f t="shared" si="224"/>
        <v>Новый раздел</v>
      </c>
      <c r="G297" s="2" t="str">
        <f t="shared" si="224"/>
        <v>Восстановление газонов, благоустройство</v>
      </c>
      <c r="H297" s="2"/>
      <c r="I297" s="2"/>
      <c r="J297" s="2"/>
      <c r="K297" s="2"/>
      <c r="L297" s="2"/>
      <c r="M297" s="2"/>
      <c r="N297" s="2"/>
      <c r="O297" s="2">
        <f aca="true" t="shared" si="225" ref="O297:AT297">O306</f>
        <v>38845.1</v>
      </c>
      <c r="P297" s="2">
        <f t="shared" si="225"/>
        <v>24115.6</v>
      </c>
      <c r="Q297" s="2">
        <f t="shared" si="225"/>
        <v>3837.5</v>
      </c>
      <c r="R297" s="2">
        <f t="shared" si="225"/>
        <v>1136.3</v>
      </c>
      <c r="S297" s="2">
        <f t="shared" si="225"/>
        <v>10892</v>
      </c>
      <c r="T297" s="2">
        <f t="shared" si="225"/>
        <v>0</v>
      </c>
      <c r="U297" s="2">
        <f t="shared" si="225"/>
        <v>68.005</v>
      </c>
      <c r="V297" s="2">
        <f t="shared" si="225"/>
        <v>4.906000000000001</v>
      </c>
      <c r="W297" s="2">
        <f t="shared" si="225"/>
        <v>0</v>
      </c>
      <c r="X297" s="2">
        <f t="shared" si="225"/>
        <v>10804.6</v>
      </c>
      <c r="Y297" s="2">
        <f t="shared" si="225"/>
        <v>7174.8</v>
      </c>
      <c r="Z297" s="2">
        <f t="shared" si="225"/>
        <v>0</v>
      </c>
      <c r="AA297" s="2">
        <f t="shared" si="225"/>
        <v>0</v>
      </c>
      <c r="AB297" s="2">
        <f t="shared" si="225"/>
        <v>38845.1</v>
      </c>
      <c r="AC297" s="2">
        <f t="shared" si="225"/>
        <v>24115.6</v>
      </c>
      <c r="AD297" s="2">
        <f t="shared" si="225"/>
        <v>3837.5</v>
      </c>
      <c r="AE297" s="2">
        <f t="shared" si="225"/>
        <v>1136.3</v>
      </c>
      <c r="AF297" s="2">
        <f t="shared" si="225"/>
        <v>10892</v>
      </c>
      <c r="AG297" s="2">
        <f t="shared" si="225"/>
        <v>0</v>
      </c>
      <c r="AH297" s="2">
        <f t="shared" si="225"/>
        <v>68.005</v>
      </c>
      <c r="AI297" s="2">
        <f t="shared" si="225"/>
        <v>4.906000000000001</v>
      </c>
      <c r="AJ297" s="2">
        <f t="shared" si="225"/>
        <v>0</v>
      </c>
      <c r="AK297" s="2">
        <f t="shared" si="225"/>
        <v>10804.6</v>
      </c>
      <c r="AL297" s="2">
        <f t="shared" si="225"/>
        <v>7174.8</v>
      </c>
      <c r="AM297" s="2">
        <f t="shared" si="225"/>
        <v>0</v>
      </c>
      <c r="AN297" s="2">
        <f t="shared" si="225"/>
        <v>0</v>
      </c>
      <c r="AO297" s="2">
        <f t="shared" si="225"/>
        <v>0</v>
      </c>
      <c r="AP297" s="2">
        <f t="shared" si="225"/>
        <v>0</v>
      </c>
      <c r="AQ297" s="2">
        <f t="shared" si="225"/>
        <v>0</v>
      </c>
      <c r="AR297" s="2">
        <f t="shared" si="225"/>
        <v>56824.5</v>
      </c>
      <c r="AS297" s="2">
        <f t="shared" si="225"/>
        <v>56824.5</v>
      </c>
      <c r="AT297" s="2">
        <f t="shared" si="225"/>
        <v>0</v>
      </c>
      <c r="AU297" s="2">
        <f aca="true" t="shared" si="226" ref="AU297:BZ297">AU306</f>
        <v>0</v>
      </c>
      <c r="AV297" s="2">
        <f t="shared" si="226"/>
        <v>24115.6</v>
      </c>
      <c r="AW297" s="2">
        <f t="shared" si="226"/>
        <v>24115.6</v>
      </c>
      <c r="AX297" s="2">
        <f t="shared" si="226"/>
        <v>0</v>
      </c>
      <c r="AY297" s="2">
        <f t="shared" si="226"/>
        <v>24115.6</v>
      </c>
      <c r="AZ297" s="2">
        <f t="shared" si="226"/>
        <v>0</v>
      </c>
      <c r="BA297" s="2">
        <f t="shared" si="226"/>
        <v>0</v>
      </c>
      <c r="BB297" s="2">
        <f t="shared" si="226"/>
        <v>0</v>
      </c>
      <c r="BC297" s="2">
        <f t="shared" si="226"/>
        <v>0</v>
      </c>
      <c r="BD297" s="2">
        <f t="shared" si="226"/>
        <v>0</v>
      </c>
      <c r="BE297" s="2">
        <f t="shared" si="226"/>
        <v>0</v>
      </c>
      <c r="BF297" s="2">
        <f t="shared" si="226"/>
        <v>0</v>
      </c>
      <c r="BG297" s="2">
        <f t="shared" si="226"/>
        <v>0</v>
      </c>
      <c r="BH297" s="2">
        <f t="shared" si="226"/>
        <v>0</v>
      </c>
      <c r="BI297" s="2">
        <f t="shared" si="226"/>
        <v>0</v>
      </c>
      <c r="BJ297" s="2">
        <f t="shared" si="226"/>
        <v>0</v>
      </c>
      <c r="BK297" s="2">
        <f t="shared" si="226"/>
        <v>0</v>
      </c>
      <c r="BL297" s="2">
        <f t="shared" si="226"/>
        <v>0</v>
      </c>
      <c r="BM297" s="2">
        <f t="shared" si="226"/>
        <v>0</v>
      </c>
      <c r="BN297" s="2">
        <f t="shared" si="226"/>
        <v>0</v>
      </c>
      <c r="BO297" s="2">
        <f t="shared" si="226"/>
        <v>0</v>
      </c>
      <c r="BP297" s="2">
        <f t="shared" si="226"/>
        <v>0</v>
      </c>
      <c r="BQ297" s="2">
        <f t="shared" si="226"/>
        <v>0</v>
      </c>
      <c r="BR297" s="2">
        <f t="shared" si="226"/>
        <v>0</v>
      </c>
      <c r="BS297" s="2">
        <f t="shared" si="226"/>
        <v>0</v>
      </c>
      <c r="BT297" s="2">
        <f t="shared" si="226"/>
        <v>0</v>
      </c>
      <c r="BU297" s="2">
        <f t="shared" si="226"/>
        <v>0</v>
      </c>
      <c r="BV297" s="2">
        <f t="shared" si="226"/>
        <v>0</v>
      </c>
      <c r="BW297" s="2">
        <f t="shared" si="226"/>
        <v>0</v>
      </c>
      <c r="BX297" s="2">
        <f t="shared" si="226"/>
        <v>0</v>
      </c>
      <c r="BY297" s="2">
        <f t="shared" si="226"/>
        <v>0</v>
      </c>
      <c r="BZ297" s="2">
        <f t="shared" si="226"/>
        <v>0</v>
      </c>
      <c r="CA297" s="2">
        <f aca="true" t="shared" si="227" ref="CA297:DF297">CA306</f>
        <v>56824.5</v>
      </c>
      <c r="CB297" s="2">
        <f t="shared" si="227"/>
        <v>56824.5</v>
      </c>
      <c r="CC297" s="2">
        <f t="shared" si="227"/>
        <v>0</v>
      </c>
      <c r="CD297" s="2">
        <f t="shared" si="227"/>
        <v>0</v>
      </c>
      <c r="CE297" s="2">
        <f t="shared" si="227"/>
        <v>24115.6</v>
      </c>
      <c r="CF297" s="2">
        <f t="shared" si="227"/>
        <v>24115.6</v>
      </c>
      <c r="CG297" s="2">
        <f t="shared" si="227"/>
        <v>0</v>
      </c>
      <c r="CH297" s="2">
        <f t="shared" si="227"/>
        <v>24115.6</v>
      </c>
      <c r="CI297" s="2">
        <f t="shared" si="227"/>
        <v>0</v>
      </c>
      <c r="CJ297" s="2">
        <f t="shared" si="227"/>
        <v>0</v>
      </c>
      <c r="CK297" s="2">
        <f t="shared" si="227"/>
        <v>0</v>
      </c>
      <c r="CL297" s="2">
        <f t="shared" si="227"/>
        <v>0</v>
      </c>
      <c r="CM297" s="2">
        <f t="shared" si="227"/>
        <v>0</v>
      </c>
      <c r="CN297" s="2">
        <f t="shared" si="227"/>
        <v>0</v>
      </c>
      <c r="CO297" s="2">
        <f t="shared" si="227"/>
        <v>0</v>
      </c>
      <c r="CP297" s="2">
        <f t="shared" si="227"/>
        <v>0</v>
      </c>
      <c r="CQ297" s="2">
        <f t="shared" si="227"/>
        <v>0</v>
      </c>
      <c r="CR297" s="2">
        <f t="shared" si="227"/>
        <v>0</v>
      </c>
      <c r="CS297" s="2">
        <f t="shared" si="227"/>
        <v>0</v>
      </c>
      <c r="CT297" s="2">
        <f t="shared" si="227"/>
        <v>0</v>
      </c>
      <c r="CU297" s="2">
        <f t="shared" si="227"/>
        <v>0</v>
      </c>
      <c r="CV297" s="2">
        <f t="shared" si="227"/>
        <v>0</v>
      </c>
      <c r="CW297" s="2">
        <f t="shared" si="227"/>
        <v>0</v>
      </c>
      <c r="CX297" s="2">
        <f t="shared" si="227"/>
        <v>0</v>
      </c>
      <c r="CY297" s="2">
        <f t="shared" si="227"/>
        <v>0</v>
      </c>
      <c r="CZ297" s="2">
        <f t="shared" si="227"/>
        <v>0</v>
      </c>
      <c r="DA297" s="2">
        <f t="shared" si="227"/>
        <v>0</v>
      </c>
      <c r="DB297" s="2">
        <f t="shared" si="227"/>
        <v>0</v>
      </c>
      <c r="DC297" s="2">
        <f t="shared" si="227"/>
        <v>0</v>
      </c>
      <c r="DD297" s="2">
        <f t="shared" si="227"/>
        <v>0</v>
      </c>
      <c r="DE297" s="2">
        <f t="shared" si="227"/>
        <v>0</v>
      </c>
      <c r="DF297" s="2">
        <f t="shared" si="227"/>
        <v>0</v>
      </c>
      <c r="DG297" s="3">
        <f aca="true" t="shared" si="228" ref="DG297:EL297">DG306</f>
        <v>0</v>
      </c>
      <c r="DH297" s="3">
        <f t="shared" si="228"/>
        <v>0</v>
      </c>
      <c r="DI297" s="3">
        <f t="shared" si="228"/>
        <v>0</v>
      </c>
      <c r="DJ297" s="3">
        <f t="shared" si="228"/>
        <v>0</v>
      </c>
      <c r="DK297" s="3">
        <f t="shared" si="228"/>
        <v>0</v>
      </c>
      <c r="DL297" s="3">
        <f t="shared" si="228"/>
        <v>0</v>
      </c>
      <c r="DM297" s="3">
        <f t="shared" si="228"/>
        <v>0</v>
      </c>
      <c r="DN297" s="3">
        <f t="shared" si="228"/>
        <v>0</v>
      </c>
      <c r="DO297" s="3">
        <f t="shared" si="228"/>
        <v>0</v>
      </c>
      <c r="DP297" s="3">
        <f t="shared" si="228"/>
        <v>0</v>
      </c>
      <c r="DQ297" s="3">
        <f t="shared" si="228"/>
        <v>0</v>
      </c>
      <c r="DR297" s="3">
        <f t="shared" si="228"/>
        <v>0</v>
      </c>
      <c r="DS297" s="3">
        <f t="shared" si="228"/>
        <v>0</v>
      </c>
      <c r="DT297" s="3">
        <f t="shared" si="228"/>
        <v>0</v>
      </c>
      <c r="DU297" s="3">
        <f t="shared" si="228"/>
        <v>0</v>
      </c>
      <c r="DV297" s="3">
        <f t="shared" si="228"/>
        <v>0</v>
      </c>
      <c r="DW297" s="3">
        <f t="shared" si="228"/>
        <v>0</v>
      </c>
      <c r="DX297" s="3">
        <f t="shared" si="228"/>
        <v>0</v>
      </c>
      <c r="DY297" s="3">
        <f t="shared" si="228"/>
        <v>0</v>
      </c>
      <c r="DZ297" s="3">
        <f t="shared" si="228"/>
        <v>0</v>
      </c>
      <c r="EA297" s="3">
        <f t="shared" si="228"/>
        <v>0</v>
      </c>
      <c r="EB297" s="3">
        <f t="shared" si="228"/>
        <v>0</v>
      </c>
      <c r="EC297" s="3">
        <f t="shared" si="228"/>
        <v>0</v>
      </c>
      <c r="ED297" s="3">
        <f t="shared" si="228"/>
        <v>0</v>
      </c>
      <c r="EE297" s="3">
        <f t="shared" si="228"/>
        <v>0</v>
      </c>
      <c r="EF297" s="3">
        <f t="shared" si="228"/>
        <v>0</v>
      </c>
      <c r="EG297" s="3">
        <f t="shared" si="228"/>
        <v>0</v>
      </c>
      <c r="EH297" s="3">
        <f t="shared" si="228"/>
        <v>0</v>
      </c>
      <c r="EI297" s="3">
        <f t="shared" si="228"/>
        <v>0</v>
      </c>
      <c r="EJ297" s="3">
        <f t="shared" si="228"/>
        <v>0</v>
      </c>
      <c r="EK297" s="3">
        <f t="shared" si="228"/>
        <v>0</v>
      </c>
      <c r="EL297" s="3">
        <f t="shared" si="228"/>
        <v>0</v>
      </c>
      <c r="EM297" s="3">
        <f aca="true" t="shared" si="229" ref="EM297:FR297">EM306</f>
        <v>0</v>
      </c>
      <c r="EN297" s="3">
        <f t="shared" si="229"/>
        <v>0</v>
      </c>
      <c r="EO297" s="3">
        <f t="shared" si="229"/>
        <v>0</v>
      </c>
      <c r="EP297" s="3">
        <f t="shared" si="229"/>
        <v>0</v>
      </c>
      <c r="EQ297" s="3">
        <f t="shared" si="229"/>
        <v>0</v>
      </c>
      <c r="ER297" s="3">
        <f t="shared" si="229"/>
        <v>0</v>
      </c>
      <c r="ES297" s="3">
        <f t="shared" si="229"/>
        <v>0</v>
      </c>
      <c r="ET297" s="3">
        <f t="shared" si="229"/>
        <v>0</v>
      </c>
      <c r="EU297" s="3">
        <f t="shared" si="229"/>
        <v>0</v>
      </c>
      <c r="EV297" s="3">
        <f t="shared" si="229"/>
        <v>0</v>
      </c>
      <c r="EW297" s="3">
        <f t="shared" si="229"/>
        <v>0</v>
      </c>
      <c r="EX297" s="3">
        <f t="shared" si="229"/>
        <v>0</v>
      </c>
      <c r="EY297" s="3">
        <f t="shared" si="229"/>
        <v>0</v>
      </c>
      <c r="EZ297" s="3">
        <f t="shared" si="229"/>
        <v>0</v>
      </c>
      <c r="FA297" s="3">
        <f t="shared" si="229"/>
        <v>0</v>
      </c>
      <c r="FB297" s="3">
        <f t="shared" si="229"/>
        <v>0</v>
      </c>
      <c r="FC297" s="3">
        <f t="shared" si="229"/>
        <v>0</v>
      </c>
      <c r="FD297" s="3">
        <f t="shared" si="229"/>
        <v>0</v>
      </c>
      <c r="FE297" s="3">
        <f t="shared" si="229"/>
        <v>0</v>
      </c>
      <c r="FF297" s="3">
        <f t="shared" si="229"/>
        <v>0</v>
      </c>
      <c r="FG297" s="3">
        <f t="shared" si="229"/>
        <v>0</v>
      </c>
      <c r="FH297" s="3">
        <f t="shared" si="229"/>
        <v>0</v>
      </c>
      <c r="FI297" s="3">
        <f t="shared" si="229"/>
        <v>0</v>
      </c>
      <c r="FJ297" s="3">
        <f t="shared" si="229"/>
        <v>0</v>
      </c>
      <c r="FK297" s="3">
        <f t="shared" si="229"/>
        <v>0</v>
      </c>
      <c r="FL297" s="3">
        <f t="shared" si="229"/>
        <v>0</v>
      </c>
      <c r="FM297" s="3">
        <f t="shared" si="229"/>
        <v>0</v>
      </c>
      <c r="FN297" s="3">
        <f t="shared" si="229"/>
        <v>0</v>
      </c>
      <c r="FO297" s="3">
        <f t="shared" si="229"/>
        <v>0</v>
      </c>
      <c r="FP297" s="3">
        <f t="shared" si="229"/>
        <v>0</v>
      </c>
      <c r="FQ297" s="3">
        <f t="shared" si="229"/>
        <v>0</v>
      </c>
      <c r="FR297" s="3">
        <f t="shared" si="229"/>
        <v>0</v>
      </c>
      <c r="FS297" s="3">
        <f aca="true" t="shared" si="230" ref="FS297:GX297">FS306</f>
        <v>0</v>
      </c>
      <c r="FT297" s="3">
        <f t="shared" si="230"/>
        <v>0</v>
      </c>
      <c r="FU297" s="3">
        <f t="shared" si="230"/>
        <v>0</v>
      </c>
      <c r="FV297" s="3">
        <f t="shared" si="230"/>
        <v>0</v>
      </c>
      <c r="FW297" s="3">
        <f t="shared" si="230"/>
        <v>0</v>
      </c>
      <c r="FX297" s="3">
        <f t="shared" si="230"/>
        <v>0</v>
      </c>
      <c r="FY297" s="3">
        <f t="shared" si="230"/>
        <v>0</v>
      </c>
      <c r="FZ297" s="3">
        <f t="shared" si="230"/>
        <v>0</v>
      </c>
      <c r="GA297" s="3">
        <f t="shared" si="230"/>
        <v>0</v>
      </c>
      <c r="GB297" s="3">
        <f t="shared" si="230"/>
        <v>0</v>
      </c>
      <c r="GC297" s="3">
        <f t="shared" si="230"/>
        <v>0</v>
      </c>
      <c r="GD297" s="3">
        <f t="shared" si="230"/>
        <v>0</v>
      </c>
      <c r="GE297" s="3">
        <f t="shared" si="230"/>
        <v>0</v>
      </c>
      <c r="GF297" s="3">
        <f t="shared" si="230"/>
        <v>0</v>
      </c>
      <c r="GG297" s="3">
        <f t="shared" si="230"/>
        <v>0</v>
      </c>
      <c r="GH297" s="3">
        <f t="shared" si="230"/>
        <v>0</v>
      </c>
      <c r="GI297" s="3">
        <f t="shared" si="230"/>
        <v>0</v>
      </c>
      <c r="GJ297" s="3">
        <f t="shared" si="230"/>
        <v>0</v>
      </c>
      <c r="GK297" s="3">
        <f t="shared" si="230"/>
        <v>0</v>
      </c>
      <c r="GL297" s="3">
        <f t="shared" si="230"/>
        <v>0</v>
      </c>
      <c r="GM297" s="3">
        <f t="shared" si="230"/>
        <v>0</v>
      </c>
      <c r="GN297" s="3">
        <f t="shared" si="230"/>
        <v>0</v>
      </c>
      <c r="GO297" s="3">
        <f t="shared" si="230"/>
        <v>0</v>
      </c>
      <c r="GP297" s="3">
        <f t="shared" si="230"/>
        <v>0</v>
      </c>
      <c r="GQ297" s="3">
        <f t="shared" si="230"/>
        <v>0</v>
      </c>
      <c r="GR297" s="3">
        <f t="shared" si="230"/>
        <v>0</v>
      </c>
      <c r="GS297" s="3">
        <f t="shared" si="230"/>
        <v>0</v>
      </c>
      <c r="GT297" s="3">
        <f t="shared" si="230"/>
        <v>0</v>
      </c>
      <c r="GU297" s="3">
        <f t="shared" si="230"/>
        <v>0</v>
      </c>
      <c r="GV297" s="3">
        <f t="shared" si="230"/>
        <v>0</v>
      </c>
      <c r="GW297" s="3">
        <f t="shared" si="230"/>
        <v>0</v>
      </c>
      <c r="GX297" s="3">
        <f t="shared" si="230"/>
        <v>0</v>
      </c>
    </row>
    <row r="299" spans="1:245" ht="12.75">
      <c r="A299">
        <v>17</v>
      </c>
      <c r="B299">
        <v>1</v>
      </c>
      <c r="C299">
        <f>ROW(SmtRes!A215)</f>
        <v>215</v>
      </c>
      <c r="D299">
        <f>ROW(EtalonRes!A216)</f>
        <v>216</v>
      </c>
      <c r="E299" t="s">
        <v>363</v>
      </c>
      <c r="F299" t="s">
        <v>364</v>
      </c>
      <c r="G299" t="s">
        <v>365</v>
      </c>
      <c r="H299" t="s">
        <v>366</v>
      </c>
      <c r="I299">
        <f>ROUND(0.12,3)</f>
        <v>0.12</v>
      </c>
      <c r="J299">
        <v>0</v>
      </c>
      <c r="O299">
        <f aca="true" t="shared" si="231" ref="O299:O304">ROUND(CP299,1)</f>
        <v>2635.6</v>
      </c>
      <c r="P299">
        <f aca="true" t="shared" si="232" ref="P299:P304">ROUND(CQ299*I299,1)</f>
        <v>0</v>
      </c>
      <c r="Q299">
        <f aca="true" t="shared" si="233" ref="Q299:Q304">ROUND(CR299*I299,1)</f>
        <v>0</v>
      </c>
      <c r="R299">
        <f aca="true" t="shared" si="234" ref="R299:R304">ROUND(CS299*I299,1)</f>
        <v>0</v>
      </c>
      <c r="S299">
        <f aca="true" t="shared" si="235" ref="S299:S304">ROUND(CT299*I299,1)</f>
        <v>2635.6</v>
      </c>
      <c r="T299">
        <f aca="true" t="shared" si="236" ref="T299:T304">ROUND(CU299*I299,1)</f>
        <v>0</v>
      </c>
      <c r="U299">
        <f aca="true" t="shared" si="237" ref="U299:U304">CV299*I299</f>
        <v>15.479999999999999</v>
      </c>
      <c r="V299">
        <f aca="true" t="shared" si="238" ref="V299:V304">CW299*I299</f>
        <v>0</v>
      </c>
      <c r="W299">
        <f aca="true" t="shared" si="239" ref="W299:W304">ROUND(CX299*I299,1)</f>
        <v>0</v>
      </c>
      <c r="X299">
        <f aca="true" t="shared" si="240" ref="X299:Y304">ROUND(CY299,1)</f>
        <v>2134.8</v>
      </c>
      <c r="Y299">
        <f t="shared" si="240"/>
        <v>1054.2</v>
      </c>
      <c r="AA299">
        <v>42253831</v>
      </c>
      <c r="AB299">
        <f aca="true" t="shared" si="241" ref="AB299:AB304">ROUND((AC299+AD299+AF299),6)</f>
        <v>1100.37</v>
      </c>
      <c r="AC299">
        <f aca="true" t="shared" si="242" ref="AC299:AC304">ROUND((ES299),6)</f>
        <v>0</v>
      </c>
      <c r="AD299">
        <f aca="true" t="shared" si="243" ref="AD299:AD304">ROUND((((ET299)-(EU299))+AE299),6)</f>
        <v>0</v>
      </c>
      <c r="AE299">
        <f aca="true" t="shared" si="244" ref="AE299:AF304">ROUND((EU299),6)</f>
        <v>0</v>
      </c>
      <c r="AF299">
        <f t="shared" si="244"/>
        <v>1100.37</v>
      </c>
      <c r="AG299">
        <f aca="true" t="shared" si="245" ref="AG299:AG304">ROUND((AP299),6)</f>
        <v>0</v>
      </c>
      <c r="AH299">
        <f aca="true" t="shared" si="246" ref="AH299:AI304">(EW299)</f>
        <v>129</v>
      </c>
      <c r="AI299">
        <f t="shared" si="246"/>
        <v>0</v>
      </c>
      <c r="AJ299">
        <f aca="true" t="shared" si="247" ref="AJ299:AJ304">ROUND((AS299),6)</f>
        <v>0</v>
      </c>
      <c r="AK299">
        <v>1100.37</v>
      </c>
      <c r="AL299">
        <v>0</v>
      </c>
      <c r="AM299">
        <v>0</v>
      </c>
      <c r="AN299">
        <v>0</v>
      </c>
      <c r="AO299">
        <v>1100.37</v>
      </c>
      <c r="AP299">
        <v>0</v>
      </c>
      <c r="AQ299">
        <v>129</v>
      </c>
      <c r="AR299">
        <v>0</v>
      </c>
      <c r="AS299">
        <v>0</v>
      </c>
      <c r="AT299">
        <v>81</v>
      </c>
      <c r="AU299">
        <v>40</v>
      </c>
      <c r="AV299">
        <v>1</v>
      </c>
      <c r="AW299">
        <v>1</v>
      </c>
      <c r="AZ299">
        <v>1</v>
      </c>
      <c r="BA299">
        <v>19.96</v>
      </c>
      <c r="BB299">
        <v>7.11</v>
      </c>
      <c r="BC299">
        <v>5.66</v>
      </c>
      <c r="BH299">
        <v>0</v>
      </c>
      <c r="BI299">
        <v>1</v>
      </c>
      <c r="BJ299" t="s">
        <v>367</v>
      </c>
      <c r="BM299">
        <v>1001</v>
      </c>
      <c r="BN299">
        <v>0</v>
      </c>
      <c r="BO299" t="s">
        <v>27</v>
      </c>
      <c r="BP299">
        <v>1</v>
      </c>
      <c r="BQ299">
        <v>2</v>
      </c>
      <c r="BR299">
        <v>0</v>
      </c>
      <c r="BS299">
        <v>19.96</v>
      </c>
      <c r="BT299">
        <v>1</v>
      </c>
      <c r="BU299">
        <v>1</v>
      </c>
      <c r="BV299">
        <v>1</v>
      </c>
      <c r="BW299">
        <v>1</v>
      </c>
      <c r="BX299">
        <v>1</v>
      </c>
      <c r="BZ299">
        <v>95</v>
      </c>
      <c r="CA299">
        <v>50</v>
      </c>
      <c r="CF299">
        <v>0</v>
      </c>
      <c r="CG299">
        <v>0</v>
      </c>
      <c r="CM299">
        <v>0</v>
      </c>
      <c r="CO299">
        <v>0</v>
      </c>
      <c r="CP299">
        <f aca="true" t="shared" si="248" ref="CP299:CP304">(P299+Q299+S299)</f>
        <v>2635.6</v>
      </c>
      <c r="CQ299">
        <f aca="true" t="shared" si="249" ref="CQ299:CQ304">AC299*BC299</f>
        <v>0</v>
      </c>
      <c r="CR299">
        <f aca="true" t="shared" si="250" ref="CR299:CR304">AD299*BB299</f>
        <v>0</v>
      </c>
      <c r="CS299">
        <f aca="true" t="shared" si="251" ref="CS299:CS304">AE299*BS299</f>
        <v>0</v>
      </c>
      <c r="CT299">
        <f aca="true" t="shared" si="252" ref="CT299:CT304">AF299*BA299</f>
        <v>21963.385199999997</v>
      </c>
      <c r="CU299">
        <f aca="true" t="shared" si="253" ref="CU299:CX304">AG299</f>
        <v>0</v>
      </c>
      <c r="CV299">
        <f t="shared" si="253"/>
        <v>129</v>
      </c>
      <c r="CW299">
        <f t="shared" si="253"/>
        <v>0</v>
      </c>
      <c r="CX299">
        <f t="shared" si="253"/>
        <v>0</v>
      </c>
      <c r="CY299">
        <f aca="true" t="shared" si="254" ref="CY299:CY304">(((S299+R299)*AT299)/100)</f>
        <v>2134.8360000000002</v>
      </c>
      <c r="CZ299">
        <f aca="true" t="shared" si="255" ref="CZ299:CZ304">(((S299+R299)*AU299)/100)</f>
        <v>1054.24</v>
      </c>
      <c r="DN299">
        <v>0</v>
      </c>
      <c r="DO299">
        <v>0</v>
      </c>
      <c r="DP299">
        <v>1</v>
      </c>
      <c r="DQ299">
        <v>1</v>
      </c>
      <c r="DU299">
        <v>1005</v>
      </c>
      <c r="DV299" t="s">
        <v>366</v>
      </c>
      <c r="DW299" t="s">
        <v>366</v>
      </c>
      <c r="DX299">
        <v>1000</v>
      </c>
      <c r="EE299">
        <v>39125347</v>
      </c>
      <c r="EF299">
        <v>2</v>
      </c>
      <c r="EG299" t="s">
        <v>28</v>
      </c>
      <c r="EH299">
        <v>0</v>
      </c>
      <c r="EJ299">
        <v>1</v>
      </c>
      <c r="EK299">
        <v>1001</v>
      </c>
      <c r="EL299" t="s">
        <v>109</v>
      </c>
      <c r="EM299" t="s">
        <v>30</v>
      </c>
      <c r="EQ299">
        <v>0</v>
      </c>
      <c r="ER299">
        <v>1100.37</v>
      </c>
      <c r="ES299">
        <v>0</v>
      </c>
      <c r="ET299">
        <v>0</v>
      </c>
      <c r="EU299">
        <v>0</v>
      </c>
      <c r="EV299">
        <v>1100.37</v>
      </c>
      <c r="EW299">
        <v>129</v>
      </c>
      <c r="EX299">
        <v>0</v>
      </c>
      <c r="EY299">
        <v>0</v>
      </c>
      <c r="FQ299">
        <v>0</v>
      </c>
      <c r="FR299">
        <f aca="true" t="shared" si="256" ref="FR299:FR304">ROUND(IF(AND(BH299=3,BI299=3),P299,0),1)</f>
        <v>0</v>
      </c>
      <c r="FS299">
        <v>0</v>
      </c>
      <c r="FV299" t="s">
        <v>31</v>
      </c>
      <c r="FW299" t="s">
        <v>32</v>
      </c>
      <c r="FX299">
        <v>95</v>
      </c>
      <c r="FY299">
        <v>50</v>
      </c>
      <c r="GD299">
        <v>0</v>
      </c>
      <c r="GF299">
        <v>-1117095556</v>
      </c>
      <c r="GG299">
        <v>2</v>
      </c>
      <c r="GH299">
        <v>1</v>
      </c>
      <c r="GI299">
        <v>4</v>
      </c>
      <c r="GJ299">
        <v>0</v>
      </c>
      <c r="GK299">
        <f>ROUND(R299*(R12)/100,1)</f>
        <v>0</v>
      </c>
      <c r="GL299">
        <f aca="true" t="shared" si="257" ref="GL299:GL304">ROUND(IF(AND(BH299=3,BI299=3,FS299&lt;&gt;0),P299,0),1)</f>
        <v>0</v>
      </c>
      <c r="GM299">
        <f aca="true" t="shared" si="258" ref="GM299:GM304">ROUND(O299+X299+Y299+GK299,1)+GX299</f>
        <v>5824.6</v>
      </c>
      <c r="GN299">
        <f aca="true" t="shared" si="259" ref="GN299:GN304">IF(OR(BI299=0,BI299=1),GM299,0)</f>
        <v>5824.6</v>
      </c>
      <c r="GO299">
        <f aca="true" t="shared" si="260" ref="GO299:GO304">IF(BI299=2,GM299,0)</f>
        <v>0</v>
      </c>
      <c r="GP299">
        <f aca="true" t="shared" si="261" ref="GP299:GP304">IF(BI299=4,GM299,0)</f>
        <v>0</v>
      </c>
      <c r="GR299">
        <v>0</v>
      </c>
      <c r="GS299">
        <v>3</v>
      </c>
      <c r="GT299">
        <v>0</v>
      </c>
      <c r="GV299">
        <f aca="true" t="shared" si="262" ref="GV299:GV304">ROUND(GT299,6)</f>
        <v>0</v>
      </c>
      <c r="GW299">
        <v>19.96</v>
      </c>
      <c r="GX299">
        <f aca="true" t="shared" si="263" ref="GX299:GX304">ROUND(GV299*GW299*I299,1)</f>
        <v>0</v>
      </c>
      <c r="HA299">
        <v>0</v>
      </c>
      <c r="HB299">
        <v>0</v>
      </c>
      <c r="IK299">
        <v>0</v>
      </c>
    </row>
    <row r="300" spans="1:245" ht="12.75">
      <c r="A300">
        <v>17</v>
      </c>
      <c r="B300">
        <v>1</v>
      </c>
      <c r="C300">
        <f>ROW(SmtRes!A218)</f>
        <v>218</v>
      </c>
      <c r="D300">
        <f>ROW(EtalonRes!A218)</f>
        <v>218</v>
      </c>
      <c r="E300" t="s">
        <v>368</v>
      </c>
      <c r="F300" t="s">
        <v>369</v>
      </c>
      <c r="G300" t="s">
        <v>370</v>
      </c>
      <c r="H300" t="s">
        <v>25</v>
      </c>
      <c r="I300">
        <f>ROUND(1.2,3)</f>
        <v>1.2</v>
      </c>
      <c r="J300">
        <v>0</v>
      </c>
      <c r="O300">
        <f t="shared" si="231"/>
        <v>21045.2</v>
      </c>
      <c r="P300">
        <f t="shared" si="232"/>
        <v>13438</v>
      </c>
      <c r="Q300">
        <f t="shared" si="233"/>
        <v>0</v>
      </c>
      <c r="R300">
        <f t="shared" si="234"/>
        <v>0</v>
      </c>
      <c r="S300">
        <f t="shared" si="235"/>
        <v>7607.2</v>
      </c>
      <c r="T300">
        <f t="shared" si="236"/>
        <v>0</v>
      </c>
      <c r="U300">
        <f t="shared" si="237"/>
        <v>48</v>
      </c>
      <c r="V300">
        <f t="shared" si="238"/>
        <v>0</v>
      </c>
      <c r="W300">
        <f t="shared" si="239"/>
        <v>0</v>
      </c>
      <c r="X300">
        <f t="shared" si="240"/>
        <v>7455.1</v>
      </c>
      <c r="Y300">
        <f t="shared" si="240"/>
        <v>5477.2</v>
      </c>
      <c r="AA300">
        <v>42253831</v>
      </c>
      <c r="AB300">
        <f t="shared" si="241"/>
        <v>2296.1</v>
      </c>
      <c r="AC300">
        <f t="shared" si="242"/>
        <v>1978.5</v>
      </c>
      <c r="AD300">
        <f t="shared" si="243"/>
        <v>0</v>
      </c>
      <c r="AE300">
        <f t="shared" si="244"/>
        <v>0</v>
      </c>
      <c r="AF300">
        <f t="shared" si="244"/>
        <v>317.6</v>
      </c>
      <c r="AG300">
        <f t="shared" si="245"/>
        <v>0</v>
      </c>
      <c r="AH300">
        <f t="shared" si="246"/>
        <v>40</v>
      </c>
      <c r="AI300">
        <f t="shared" si="246"/>
        <v>0</v>
      </c>
      <c r="AJ300">
        <f t="shared" si="247"/>
        <v>0</v>
      </c>
      <c r="AK300">
        <v>2296.1</v>
      </c>
      <c r="AL300">
        <v>1978.5</v>
      </c>
      <c r="AM300">
        <v>0</v>
      </c>
      <c r="AN300">
        <v>0</v>
      </c>
      <c r="AO300">
        <v>317.6</v>
      </c>
      <c r="AP300">
        <v>0</v>
      </c>
      <c r="AQ300">
        <v>40</v>
      </c>
      <c r="AR300">
        <v>0</v>
      </c>
      <c r="AS300">
        <v>0</v>
      </c>
      <c r="AT300">
        <v>98</v>
      </c>
      <c r="AU300">
        <v>72</v>
      </c>
      <c r="AV300">
        <v>1</v>
      </c>
      <c r="AW300">
        <v>1</v>
      </c>
      <c r="AZ300">
        <v>1</v>
      </c>
      <c r="BA300">
        <v>19.96</v>
      </c>
      <c r="BB300">
        <v>7.11</v>
      </c>
      <c r="BC300">
        <v>5.66</v>
      </c>
      <c r="BH300">
        <v>0</v>
      </c>
      <c r="BI300">
        <v>1</v>
      </c>
      <c r="BJ300" t="s">
        <v>371</v>
      </c>
      <c r="BM300">
        <v>47001</v>
      </c>
      <c r="BN300">
        <v>0</v>
      </c>
      <c r="BO300" t="s">
        <v>27</v>
      </c>
      <c r="BP300">
        <v>1</v>
      </c>
      <c r="BQ300">
        <v>2</v>
      </c>
      <c r="BR300">
        <v>0</v>
      </c>
      <c r="BS300">
        <v>19.96</v>
      </c>
      <c r="BT300">
        <v>1</v>
      </c>
      <c r="BU300">
        <v>1</v>
      </c>
      <c r="BV300">
        <v>1</v>
      </c>
      <c r="BW300">
        <v>1</v>
      </c>
      <c r="BX300">
        <v>1</v>
      </c>
      <c r="BZ300">
        <v>115</v>
      </c>
      <c r="CA300">
        <v>90</v>
      </c>
      <c r="CF300">
        <v>0</v>
      </c>
      <c r="CG300">
        <v>0</v>
      </c>
      <c r="CM300">
        <v>0</v>
      </c>
      <c r="CO300">
        <v>0</v>
      </c>
      <c r="CP300">
        <f t="shared" si="248"/>
        <v>21045.2</v>
      </c>
      <c r="CQ300">
        <f t="shared" si="249"/>
        <v>11198.31</v>
      </c>
      <c r="CR300">
        <f t="shared" si="250"/>
        <v>0</v>
      </c>
      <c r="CS300">
        <f t="shared" si="251"/>
        <v>0</v>
      </c>
      <c r="CT300">
        <f t="shared" si="252"/>
        <v>6339.296</v>
      </c>
      <c r="CU300">
        <f t="shared" si="253"/>
        <v>0</v>
      </c>
      <c r="CV300">
        <f t="shared" si="253"/>
        <v>40</v>
      </c>
      <c r="CW300">
        <f t="shared" si="253"/>
        <v>0</v>
      </c>
      <c r="CX300">
        <f t="shared" si="253"/>
        <v>0</v>
      </c>
      <c r="CY300">
        <f t="shared" si="254"/>
        <v>7455.056</v>
      </c>
      <c r="CZ300">
        <f t="shared" si="255"/>
        <v>5477.184</v>
      </c>
      <c r="DN300">
        <v>0</v>
      </c>
      <c r="DO300">
        <v>0</v>
      </c>
      <c r="DP300">
        <v>1</v>
      </c>
      <c r="DQ300">
        <v>1</v>
      </c>
      <c r="DU300">
        <v>1005</v>
      </c>
      <c r="DV300" t="s">
        <v>25</v>
      </c>
      <c r="DW300" t="s">
        <v>25</v>
      </c>
      <c r="DX300">
        <v>100</v>
      </c>
      <c r="EE300">
        <v>39125443</v>
      </c>
      <c r="EF300">
        <v>2</v>
      </c>
      <c r="EG300" t="s">
        <v>28</v>
      </c>
      <c r="EH300">
        <v>0</v>
      </c>
      <c r="EJ300">
        <v>1</v>
      </c>
      <c r="EK300">
        <v>47001</v>
      </c>
      <c r="EL300" t="s">
        <v>372</v>
      </c>
      <c r="EM300" t="s">
        <v>373</v>
      </c>
      <c r="EQ300">
        <v>0</v>
      </c>
      <c r="ER300">
        <v>2296.1</v>
      </c>
      <c r="ES300">
        <v>1978.5</v>
      </c>
      <c r="ET300">
        <v>0</v>
      </c>
      <c r="EU300">
        <v>0</v>
      </c>
      <c r="EV300">
        <v>317.6</v>
      </c>
      <c r="EW300">
        <v>40</v>
      </c>
      <c r="EX300">
        <v>0</v>
      </c>
      <c r="EY300">
        <v>0</v>
      </c>
      <c r="FQ300">
        <v>0</v>
      </c>
      <c r="FR300">
        <f t="shared" si="256"/>
        <v>0</v>
      </c>
      <c r="FS300">
        <v>0</v>
      </c>
      <c r="FV300" t="s">
        <v>31</v>
      </c>
      <c r="FW300" t="s">
        <v>32</v>
      </c>
      <c r="FX300">
        <v>115</v>
      </c>
      <c r="FY300">
        <v>90</v>
      </c>
      <c r="GD300">
        <v>0</v>
      </c>
      <c r="GF300">
        <v>-1954285471</v>
      </c>
      <c r="GG300">
        <v>2</v>
      </c>
      <c r="GH300">
        <v>1</v>
      </c>
      <c r="GI300">
        <v>4</v>
      </c>
      <c r="GJ300">
        <v>0</v>
      </c>
      <c r="GK300">
        <f>ROUND(R300*(R12)/100,1)</f>
        <v>0</v>
      </c>
      <c r="GL300">
        <f t="shared" si="257"/>
        <v>0</v>
      </c>
      <c r="GM300">
        <f t="shared" si="258"/>
        <v>33977.5</v>
      </c>
      <c r="GN300">
        <f t="shared" si="259"/>
        <v>33977.5</v>
      </c>
      <c r="GO300">
        <f t="shared" si="260"/>
        <v>0</v>
      </c>
      <c r="GP300">
        <f t="shared" si="261"/>
        <v>0</v>
      </c>
      <c r="GR300">
        <v>0</v>
      </c>
      <c r="GS300">
        <v>3</v>
      </c>
      <c r="GT300">
        <v>0</v>
      </c>
      <c r="GV300">
        <f t="shared" si="262"/>
        <v>0</v>
      </c>
      <c r="GW300">
        <v>19.96</v>
      </c>
      <c r="GX300">
        <f t="shared" si="263"/>
        <v>0</v>
      </c>
      <c r="HA300">
        <v>0</v>
      </c>
      <c r="HB300">
        <v>0</v>
      </c>
      <c r="IK300">
        <v>0</v>
      </c>
    </row>
    <row r="301" spans="1:245" ht="12.75">
      <c r="A301">
        <v>18</v>
      </c>
      <c r="B301">
        <v>1</v>
      </c>
      <c r="C301">
        <v>218</v>
      </c>
      <c r="E301" t="s">
        <v>374</v>
      </c>
      <c r="F301" t="s">
        <v>375</v>
      </c>
      <c r="G301" t="s">
        <v>376</v>
      </c>
      <c r="H301" t="s">
        <v>140</v>
      </c>
      <c r="I301">
        <v>2</v>
      </c>
      <c r="J301">
        <v>6.800000000000001</v>
      </c>
      <c r="O301">
        <f t="shared" si="231"/>
        <v>4144.3</v>
      </c>
      <c r="P301">
        <f t="shared" si="232"/>
        <v>4144.3</v>
      </c>
      <c r="Q301">
        <f t="shared" si="233"/>
        <v>0</v>
      </c>
      <c r="R301">
        <f t="shared" si="234"/>
        <v>0</v>
      </c>
      <c r="S301">
        <f t="shared" si="235"/>
        <v>0</v>
      </c>
      <c r="T301">
        <f t="shared" si="236"/>
        <v>0</v>
      </c>
      <c r="U301">
        <f t="shared" si="237"/>
        <v>0</v>
      </c>
      <c r="V301">
        <f t="shared" si="238"/>
        <v>0</v>
      </c>
      <c r="W301">
        <f t="shared" si="239"/>
        <v>0</v>
      </c>
      <c r="X301">
        <f t="shared" si="240"/>
        <v>0</v>
      </c>
      <c r="Y301">
        <f t="shared" si="240"/>
        <v>0</v>
      </c>
      <c r="AA301">
        <v>42253831</v>
      </c>
      <c r="AB301">
        <f t="shared" si="241"/>
        <v>366.1</v>
      </c>
      <c r="AC301">
        <f t="shared" si="242"/>
        <v>366.1</v>
      </c>
      <c r="AD301">
        <f t="shared" si="243"/>
        <v>0</v>
      </c>
      <c r="AE301">
        <f t="shared" si="244"/>
        <v>0</v>
      </c>
      <c r="AF301">
        <f t="shared" si="244"/>
        <v>0</v>
      </c>
      <c r="AG301">
        <f t="shared" si="245"/>
        <v>0</v>
      </c>
      <c r="AH301">
        <f t="shared" si="246"/>
        <v>0</v>
      </c>
      <c r="AI301">
        <f t="shared" si="246"/>
        <v>0</v>
      </c>
      <c r="AJ301">
        <f t="shared" si="247"/>
        <v>0</v>
      </c>
      <c r="AK301">
        <v>366.1</v>
      </c>
      <c r="AL301">
        <v>366.1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1</v>
      </c>
      <c r="AW301">
        <v>1</v>
      </c>
      <c r="AZ301">
        <v>1</v>
      </c>
      <c r="BA301">
        <v>1</v>
      </c>
      <c r="BB301">
        <v>1</v>
      </c>
      <c r="BC301">
        <v>5.66</v>
      </c>
      <c r="BH301">
        <v>3</v>
      </c>
      <c r="BI301">
        <v>1</v>
      </c>
      <c r="BJ301" t="s">
        <v>377</v>
      </c>
      <c r="BM301">
        <v>500001</v>
      </c>
      <c r="BN301">
        <v>0</v>
      </c>
      <c r="BO301" t="s">
        <v>27</v>
      </c>
      <c r="BP301">
        <v>1</v>
      </c>
      <c r="BQ301">
        <v>8</v>
      </c>
      <c r="BR301">
        <v>0</v>
      </c>
      <c r="BS301">
        <v>1</v>
      </c>
      <c r="BT301">
        <v>1</v>
      </c>
      <c r="BU301">
        <v>1</v>
      </c>
      <c r="BV301">
        <v>1</v>
      </c>
      <c r="BW301">
        <v>1</v>
      </c>
      <c r="BX301">
        <v>1</v>
      </c>
      <c r="BZ301">
        <v>0</v>
      </c>
      <c r="CA301">
        <v>0</v>
      </c>
      <c r="CF301">
        <v>0</v>
      </c>
      <c r="CG301">
        <v>0</v>
      </c>
      <c r="CM301">
        <v>0</v>
      </c>
      <c r="CO301">
        <v>0</v>
      </c>
      <c r="CP301">
        <f t="shared" si="248"/>
        <v>4144.3</v>
      </c>
      <c r="CQ301">
        <f t="shared" si="249"/>
        <v>2072.126</v>
      </c>
      <c r="CR301">
        <f t="shared" si="250"/>
        <v>0</v>
      </c>
      <c r="CS301">
        <f t="shared" si="251"/>
        <v>0</v>
      </c>
      <c r="CT301">
        <f t="shared" si="252"/>
        <v>0</v>
      </c>
      <c r="CU301">
        <f t="shared" si="253"/>
        <v>0</v>
      </c>
      <c r="CV301">
        <f t="shared" si="253"/>
        <v>0</v>
      </c>
      <c r="CW301">
        <f t="shared" si="253"/>
        <v>0</v>
      </c>
      <c r="CX301">
        <f t="shared" si="253"/>
        <v>0</v>
      </c>
      <c r="CY301">
        <f t="shared" si="254"/>
        <v>0</v>
      </c>
      <c r="CZ301">
        <f t="shared" si="255"/>
        <v>0</v>
      </c>
      <c r="DN301">
        <v>0</v>
      </c>
      <c r="DO301">
        <v>0</v>
      </c>
      <c r="DP301">
        <v>1</v>
      </c>
      <c r="DQ301">
        <v>1</v>
      </c>
      <c r="DU301">
        <v>1007</v>
      </c>
      <c r="DV301" t="s">
        <v>140</v>
      </c>
      <c r="DW301" t="s">
        <v>140</v>
      </c>
      <c r="DX301">
        <v>1</v>
      </c>
      <c r="EE301">
        <v>39125306</v>
      </c>
      <c r="EF301">
        <v>8</v>
      </c>
      <c r="EG301" t="s">
        <v>142</v>
      </c>
      <c r="EH301">
        <v>0</v>
      </c>
      <c r="EJ301">
        <v>1</v>
      </c>
      <c r="EK301">
        <v>500001</v>
      </c>
      <c r="EL301" t="s">
        <v>143</v>
      </c>
      <c r="EM301" t="s">
        <v>144</v>
      </c>
      <c r="EQ301">
        <v>0</v>
      </c>
      <c r="ER301">
        <v>366.1</v>
      </c>
      <c r="ES301">
        <v>366.1</v>
      </c>
      <c r="ET301">
        <v>0</v>
      </c>
      <c r="EU301">
        <v>0</v>
      </c>
      <c r="EV301">
        <v>0</v>
      </c>
      <c r="EW301">
        <v>0</v>
      </c>
      <c r="EX301">
        <v>0</v>
      </c>
      <c r="FQ301">
        <v>0</v>
      </c>
      <c r="FR301">
        <f t="shared" si="256"/>
        <v>0</v>
      </c>
      <c r="FS301">
        <v>0</v>
      </c>
      <c r="FX301">
        <v>0</v>
      </c>
      <c r="FY301">
        <v>0</v>
      </c>
      <c r="GD301">
        <v>0</v>
      </c>
      <c r="GF301">
        <v>614973991</v>
      </c>
      <c r="GG301">
        <v>2</v>
      </c>
      <c r="GH301">
        <v>1</v>
      </c>
      <c r="GI301">
        <v>4</v>
      </c>
      <c r="GJ301">
        <v>0</v>
      </c>
      <c r="GK301">
        <f>ROUND(R301*(R12)/100,1)</f>
        <v>0</v>
      </c>
      <c r="GL301">
        <f t="shared" si="257"/>
        <v>0</v>
      </c>
      <c r="GM301">
        <f t="shared" si="258"/>
        <v>4144.3</v>
      </c>
      <c r="GN301">
        <f t="shared" si="259"/>
        <v>4144.3</v>
      </c>
      <c r="GO301">
        <f t="shared" si="260"/>
        <v>0</v>
      </c>
      <c r="GP301">
        <f t="shared" si="261"/>
        <v>0</v>
      </c>
      <c r="GR301">
        <v>0</v>
      </c>
      <c r="GS301">
        <v>3</v>
      </c>
      <c r="GT301">
        <v>0</v>
      </c>
      <c r="GV301">
        <f t="shared" si="262"/>
        <v>0</v>
      </c>
      <c r="GW301">
        <v>1</v>
      </c>
      <c r="GX301">
        <f t="shared" si="263"/>
        <v>0</v>
      </c>
      <c r="HA301">
        <v>0</v>
      </c>
      <c r="HB301">
        <v>0</v>
      </c>
      <c r="IK301">
        <v>0</v>
      </c>
    </row>
    <row r="302" spans="1:245" ht="12.75">
      <c r="A302">
        <v>17</v>
      </c>
      <c r="B302">
        <v>1</v>
      </c>
      <c r="C302">
        <f>ROW(SmtRes!A222)</f>
        <v>222</v>
      </c>
      <c r="D302">
        <f>ROW(EtalonRes!A222)</f>
        <v>222</v>
      </c>
      <c r="E302" t="s">
        <v>378</v>
      </c>
      <c r="F302" t="s">
        <v>379</v>
      </c>
      <c r="G302" t="s">
        <v>380</v>
      </c>
      <c r="H302" t="s">
        <v>381</v>
      </c>
      <c r="I302">
        <f>ROUND(0.012,3)</f>
        <v>0.012</v>
      </c>
      <c r="J302">
        <v>0</v>
      </c>
      <c r="O302">
        <f t="shared" si="231"/>
        <v>5.2</v>
      </c>
      <c r="P302">
        <f t="shared" si="232"/>
        <v>0</v>
      </c>
      <c r="Q302">
        <f t="shared" si="233"/>
        <v>5.2</v>
      </c>
      <c r="R302">
        <f t="shared" si="234"/>
        <v>1.6</v>
      </c>
      <c r="S302">
        <f t="shared" si="235"/>
        <v>0</v>
      </c>
      <c r="T302">
        <f t="shared" si="236"/>
        <v>0</v>
      </c>
      <c r="U302">
        <f t="shared" si="237"/>
        <v>0</v>
      </c>
      <c r="V302">
        <f t="shared" si="238"/>
        <v>0.006</v>
      </c>
      <c r="W302">
        <f t="shared" si="239"/>
        <v>0</v>
      </c>
      <c r="X302">
        <f t="shared" si="240"/>
        <v>1.6</v>
      </c>
      <c r="Y302">
        <f t="shared" si="240"/>
        <v>1.2</v>
      </c>
      <c r="AA302">
        <v>42253831</v>
      </c>
      <c r="AB302">
        <f t="shared" si="241"/>
        <v>61.41</v>
      </c>
      <c r="AC302">
        <f t="shared" si="242"/>
        <v>0</v>
      </c>
      <c r="AD302">
        <f t="shared" si="243"/>
        <v>61.41</v>
      </c>
      <c r="AE302">
        <f t="shared" si="244"/>
        <v>6.75</v>
      </c>
      <c r="AF302">
        <f t="shared" si="244"/>
        <v>0</v>
      </c>
      <c r="AG302">
        <f t="shared" si="245"/>
        <v>0</v>
      </c>
      <c r="AH302">
        <f t="shared" si="246"/>
        <v>0</v>
      </c>
      <c r="AI302">
        <f t="shared" si="246"/>
        <v>0.5</v>
      </c>
      <c r="AJ302">
        <f t="shared" si="247"/>
        <v>0</v>
      </c>
      <c r="AK302">
        <v>61.41</v>
      </c>
      <c r="AL302">
        <v>0</v>
      </c>
      <c r="AM302">
        <v>61.41</v>
      </c>
      <c r="AN302">
        <v>6.75</v>
      </c>
      <c r="AO302">
        <v>0</v>
      </c>
      <c r="AP302">
        <v>0</v>
      </c>
      <c r="AQ302">
        <v>0</v>
      </c>
      <c r="AR302">
        <v>0.5</v>
      </c>
      <c r="AS302">
        <v>0</v>
      </c>
      <c r="AT302">
        <v>98</v>
      </c>
      <c r="AU302">
        <v>72</v>
      </c>
      <c r="AV302">
        <v>1</v>
      </c>
      <c r="AW302">
        <v>1</v>
      </c>
      <c r="AZ302">
        <v>1</v>
      </c>
      <c r="BA302">
        <v>19.96</v>
      </c>
      <c r="BB302">
        <v>7.11</v>
      </c>
      <c r="BC302">
        <v>5.66</v>
      </c>
      <c r="BH302">
        <v>0</v>
      </c>
      <c r="BI302">
        <v>1</v>
      </c>
      <c r="BJ302" t="s">
        <v>382</v>
      </c>
      <c r="BM302">
        <v>47001</v>
      </c>
      <c r="BN302">
        <v>0</v>
      </c>
      <c r="BO302" t="s">
        <v>27</v>
      </c>
      <c r="BP302">
        <v>1</v>
      </c>
      <c r="BQ302">
        <v>2</v>
      </c>
      <c r="BR302">
        <v>0</v>
      </c>
      <c r="BS302">
        <v>19.96</v>
      </c>
      <c r="BT302">
        <v>1</v>
      </c>
      <c r="BU302">
        <v>1</v>
      </c>
      <c r="BV302">
        <v>1</v>
      </c>
      <c r="BW302">
        <v>1</v>
      </c>
      <c r="BX302">
        <v>1</v>
      </c>
      <c r="BZ302">
        <v>115</v>
      </c>
      <c r="CA302">
        <v>90</v>
      </c>
      <c r="CF302">
        <v>0</v>
      </c>
      <c r="CG302">
        <v>0</v>
      </c>
      <c r="CM302">
        <v>0</v>
      </c>
      <c r="CO302">
        <v>0</v>
      </c>
      <c r="CP302">
        <f t="shared" si="248"/>
        <v>5.2</v>
      </c>
      <c r="CQ302">
        <f t="shared" si="249"/>
        <v>0</v>
      </c>
      <c r="CR302">
        <f t="shared" si="250"/>
        <v>436.6251</v>
      </c>
      <c r="CS302">
        <f t="shared" si="251"/>
        <v>134.73000000000002</v>
      </c>
      <c r="CT302">
        <f t="shared" si="252"/>
        <v>0</v>
      </c>
      <c r="CU302">
        <f t="shared" si="253"/>
        <v>0</v>
      </c>
      <c r="CV302">
        <f t="shared" si="253"/>
        <v>0</v>
      </c>
      <c r="CW302">
        <f t="shared" si="253"/>
        <v>0.5</v>
      </c>
      <c r="CX302">
        <f t="shared" si="253"/>
        <v>0</v>
      </c>
      <c r="CY302">
        <f t="shared" si="254"/>
        <v>1.568</v>
      </c>
      <c r="CZ302">
        <f t="shared" si="255"/>
        <v>1.1520000000000001</v>
      </c>
      <c r="DN302">
        <v>0</v>
      </c>
      <c r="DO302">
        <v>0</v>
      </c>
      <c r="DP302">
        <v>1</v>
      </c>
      <c r="DQ302">
        <v>1</v>
      </c>
      <c r="DU302">
        <v>1005</v>
      </c>
      <c r="DV302" t="s">
        <v>381</v>
      </c>
      <c r="DW302" t="s">
        <v>381</v>
      </c>
      <c r="DX302">
        <v>1</v>
      </c>
      <c r="EE302">
        <v>39125443</v>
      </c>
      <c r="EF302">
        <v>2</v>
      </c>
      <c r="EG302" t="s">
        <v>28</v>
      </c>
      <c r="EH302">
        <v>0</v>
      </c>
      <c r="EJ302">
        <v>1</v>
      </c>
      <c r="EK302">
        <v>47001</v>
      </c>
      <c r="EL302" t="s">
        <v>372</v>
      </c>
      <c r="EM302" t="s">
        <v>373</v>
      </c>
      <c r="EQ302">
        <v>0</v>
      </c>
      <c r="ER302">
        <v>61.41</v>
      </c>
      <c r="ES302">
        <v>0</v>
      </c>
      <c r="ET302">
        <v>61.41</v>
      </c>
      <c r="EU302">
        <v>6.75</v>
      </c>
      <c r="EV302">
        <v>0</v>
      </c>
      <c r="EW302">
        <v>0</v>
      </c>
      <c r="EX302">
        <v>0.5</v>
      </c>
      <c r="EY302">
        <v>0</v>
      </c>
      <c r="FQ302">
        <v>0</v>
      </c>
      <c r="FR302">
        <f t="shared" si="256"/>
        <v>0</v>
      </c>
      <c r="FS302">
        <v>0</v>
      </c>
      <c r="FV302" t="s">
        <v>31</v>
      </c>
      <c r="FW302" t="s">
        <v>32</v>
      </c>
      <c r="FX302">
        <v>115</v>
      </c>
      <c r="FY302">
        <v>90</v>
      </c>
      <c r="GD302">
        <v>0</v>
      </c>
      <c r="GF302">
        <v>-1593884139</v>
      </c>
      <c r="GG302">
        <v>2</v>
      </c>
      <c r="GH302">
        <v>1</v>
      </c>
      <c r="GI302">
        <v>4</v>
      </c>
      <c r="GJ302">
        <v>0</v>
      </c>
      <c r="GK302">
        <f>ROUND(R302*(R12)/100,1)</f>
        <v>0</v>
      </c>
      <c r="GL302">
        <f t="shared" si="257"/>
        <v>0</v>
      </c>
      <c r="GM302">
        <f t="shared" si="258"/>
        <v>8</v>
      </c>
      <c r="GN302">
        <f t="shared" si="259"/>
        <v>8</v>
      </c>
      <c r="GO302">
        <f t="shared" si="260"/>
        <v>0</v>
      </c>
      <c r="GP302">
        <f t="shared" si="261"/>
        <v>0</v>
      </c>
      <c r="GR302">
        <v>0</v>
      </c>
      <c r="GS302">
        <v>3</v>
      </c>
      <c r="GT302">
        <v>0</v>
      </c>
      <c r="GV302">
        <f t="shared" si="262"/>
        <v>0</v>
      </c>
      <c r="GW302">
        <v>19.96</v>
      </c>
      <c r="GX302">
        <f t="shared" si="263"/>
        <v>0</v>
      </c>
      <c r="HA302">
        <v>0</v>
      </c>
      <c r="HB302">
        <v>0</v>
      </c>
      <c r="IK302">
        <v>0</v>
      </c>
    </row>
    <row r="303" spans="1:245" ht="12.75">
      <c r="A303">
        <v>18</v>
      </c>
      <c r="B303">
        <v>1</v>
      </c>
      <c r="C303">
        <v>222</v>
      </c>
      <c r="E303" t="s">
        <v>383</v>
      </c>
      <c r="F303" t="s">
        <v>384</v>
      </c>
      <c r="G303" t="s">
        <v>385</v>
      </c>
      <c r="H303" t="s">
        <v>386</v>
      </c>
      <c r="I303">
        <f>I302*J303</f>
        <v>7.68</v>
      </c>
      <c r="J303">
        <v>640</v>
      </c>
      <c r="O303">
        <f t="shared" si="231"/>
        <v>6357.3</v>
      </c>
      <c r="P303">
        <f t="shared" si="232"/>
        <v>6357.3</v>
      </c>
      <c r="Q303">
        <f t="shared" si="233"/>
        <v>0</v>
      </c>
      <c r="R303">
        <f t="shared" si="234"/>
        <v>0</v>
      </c>
      <c r="S303">
        <f t="shared" si="235"/>
        <v>0</v>
      </c>
      <c r="T303">
        <f t="shared" si="236"/>
        <v>0</v>
      </c>
      <c r="U303">
        <f t="shared" si="237"/>
        <v>0</v>
      </c>
      <c r="V303">
        <f t="shared" si="238"/>
        <v>0</v>
      </c>
      <c r="W303">
        <f t="shared" si="239"/>
        <v>0</v>
      </c>
      <c r="X303">
        <f t="shared" si="240"/>
        <v>0</v>
      </c>
      <c r="Y303">
        <f t="shared" si="240"/>
        <v>0</v>
      </c>
      <c r="AA303">
        <v>42253831</v>
      </c>
      <c r="AB303">
        <f t="shared" si="241"/>
        <v>146.25</v>
      </c>
      <c r="AC303">
        <f t="shared" si="242"/>
        <v>146.25</v>
      </c>
      <c r="AD303">
        <f t="shared" si="243"/>
        <v>0</v>
      </c>
      <c r="AE303">
        <f t="shared" si="244"/>
        <v>0</v>
      </c>
      <c r="AF303">
        <f t="shared" si="244"/>
        <v>0</v>
      </c>
      <c r="AG303">
        <f t="shared" si="245"/>
        <v>0</v>
      </c>
      <c r="AH303">
        <f t="shared" si="246"/>
        <v>0</v>
      </c>
      <c r="AI303">
        <f t="shared" si="246"/>
        <v>0</v>
      </c>
      <c r="AJ303">
        <f t="shared" si="247"/>
        <v>0</v>
      </c>
      <c r="AK303">
        <v>146.25</v>
      </c>
      <c r="AL303">
        <v>146.25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1</v>
      </c>
      <c r="AW303">
        <v>1</v>
      </c>
      <c r="AZ303">
        <v>1</v>
      </c>
      <c r="BA303">
        <v>1</v>
      </c>
      <c r="BB303">
        <v>1</v>
      </c>
      <c r="BC303">
        <v>5.66</v>
      </c>
      <c r="BH303">
        <v>3</v>
      </c>
      <c r="BI303">
        <v>1</v>
      </c>
      <c r="BJ303" t="s">
        <v>387</v>
      </c>
      <c r="BM303">
        <v>500001</v>
      </c>
      <c r="BN303">
        <v>0</v>
      </c>
      <c r="BO303" t="s">
        <v>27</v>
      </c>
      <c r="BP303">
        <v>1</v>
      </c>
      <c r="BQ303">
        <v>8</v>
      </c>
      <c r="BR303">
        <v>0</v>
      </c>
      <c r="BS303">
        <v>1</v>
      </c>
      <c r="BT303">
        <v>1</v>
      </c>
      <c r="BU303">
        <v>1</v>
      </c>
      <c r="BV303">
        <v>1</v>
      </c>
      <c r="BW303">
        <v>1</v>
      </c>
      <c r="BX303">
        <v>1</v>
      </c>
      <c r="BZ303">
        <v>0</v>
      </c>
      <c r="CA303">
        <v>0</v>
      </c>
      <c r="CF303">
        <v>0</v>
      </c>
      <c r="CG303">
        <v>0</v>
      </c>
      <c r="CM303">
        <v>0</v>
      </c>
      <c r="CO303">
        <v>0</v>
      </c>
      <c r="CP303">
        <f t="shared" si="248"/>
        <v>6357.3</v>
      </c>
      <c r="CQ303">
        <f t="shared" si="249"/>
        <v>827.775</v>
      </c>
      <c r="CR303">
        <f t="shared" si="250"/>
        <v>0</v>
      </c>
      <c r="CS303">
        <f t="shared" si="251"/>
        <v>0</v>
      </c>
      <c r="CT303">
        <f t="shared" si="252"/>
        <v>0</v>
      </c>
      <c r="CU303">
        <f t="shared" si="253"/>
        <v>0</v>
      </c>
      <c r="CV303">
        <f t="shared" si="253"/>
        <v>0</v>
      </c>
      <c r="CW303">
        <f t="shared" si="253"/>
        <v>0</v>
      </c>
      <c r="CX303">
        <f t="shared" si="253"/>
        <v>0</v>
      </c>
      <c r="CY303">
        <f t="shared" si="254"/>
        <v>0</v>
      </c>
      <c r="CZ303">
        <f t="shared" si="255"/>
        <v>0</v>
      </c>
      <c r="DN303">
        <v>0</v>
      </c>
      <c r="DO303">
        <v>0</v>
      </c>
      <c r="DP303">
        <v>1</v>
      </c>
      <c r="DQ303">
        <v>1</v>
      </c>
      <c r="DU303">
        <v>1009</v>
      </c>
      <c r="DV303" t="s">
        <v>386</v>
      </c>
      <c r="DW303" t="s">
        <v>386</v>
      </c>
      <c r="DX303">
        <v>1</v>
      </c>
      <c r="EE303">
        <v>39125306</v>
      </c>
      <c r="EF303">
        <v>8</v>
      </c>
      <c r="EG303" t="s">
        <v>142</v>
      </c>
      <c r="EH303">
        <v>0</v>
      </c>
      <c r="EJ303">
        <v>1</v>
      </c>
      <c r="EK303">
        <v>500001</v>
      </c>
      <c r="EL303" t="s">
        <v>143</v>
      </c>
      <c r="EM303" t="s">
        <v>144</v>
      </c>
      <c r="EQ303">
        <v>0</v>
      </c>
      <c r="ER303">
        <v>146.25</v>
      </c>
      <c r="ES303">
        <v>146.25</v>
      </c>
      <c r="ET303">
        <v>0</v>
      </c>
      <c r="EU303">
        <v>0</v>
      </c>
      <c r="EV303">
        <v>0</v>
      </c>
      <c r="EW303">
        <v>0</v>
      </c>
      <c r="EX303">
        <v>0</v>
      </c>
      <c r="FQ303">
        <v>0</v>
      </c>
      <c r="FR303">
        <f t="shared" si="256"/>
        <v>0</v>
      </c>
      <c r="FS303">
        <v>0</v>
      </c>
      <c r="FX303">
        <v>0</v>
      </c>
      <c r="FY303">
        <v>0</v>
      </c>
      <c r="GD303">
        <v>0</v>
      </c>
      <c r="GF303">
        <v>-1440369693</v>
      </c>
      <c r="GG303">
        <v>2</v>
      </c>
      <c r="GH303">
        <v>1</v>
      </c>
      <c r="GI303">
        <v>4</v>
      </c>
      <c r="GJ303">
        <v>0</v>
      </c>
      <c r="GK303">
        <f>ROUND(R303*(R12)/100,1)</f>
        <v>0</v>
      </c>
      <c r="GL303">
        <f t="shared" si="257"/>
        <v>0</v>
      </c>
      <c r="GM303">
        <f t="shared" si="258"/>
        <v>6357.3</v>
      </c>
      <c r="GN303">
        <f t="shared" si="259"/>
        <v>6357.3</v>
      </c>
      <c r="GO303">
        <f t="shared" si="260"/>
        <v>0</v>
      </c>
      <c r="GP303">
        <f t="shared" si="261"/>
        <v>0</v>
      </c>
      <c r="GR303">
        <v>0</v>
      </c>
      <c r="GS303">
        <v>3</v>
      </c>
      <c r="GT303">
        <v>0</v>
      </c>
      <c r="GV303">
        <f t="shared" si="262"/>
        <v>0</v>
      </c>
      <c r="GW303">
        <v>1</v>
      </c>
      <c r="GX303">
        <f t="shared" si="263"/>
        <v>0</v>
      </c>
      <c r="HA303">
        <v>0</v>
      </c>
      <c r="HB303">
        <v>0</v>
      </c>
      <c r="IK303">
        <v>0</v>
      </c>
    </row>
    <row r="304" spans="1:245" ht="12.75">
      <c r="A304">
        <v>17</v>
      </c>
      <c r="B304">
        <v>1</v>
      </c>
      <c r="C304">
        <f>ROW(SmtRes!A226)</f>
        <v>226</v>
      </c>
      <c r="D304">
        <f>ROW(EtalonRes!A226)</f>
        <v>226</v>
      </c>
      <c r="E304" t="s">
        <v>388</v>
      </c>
      <c r="F304" t="s">
        <v>389</v>
      </c>
      <c r="G304" t="s">
        <v>390</v>
      </c>
      <c r="H304" t="s">
        <v>25</v>
      </c>
      <c r="I304">
        <f>ROUND(2.5,3)</f>
        <v>2.5</v>
      </c>
      <c r="J304">
        <v>0</v>
      </c>
      <c r="O304">
        <f t="shared" si="231"/>
        <v>4657.5</v>
      </c>
      <c r="P304">
        <f t="shared" si="232"/>
        <v>176</v>
      </c>
      <c r="Q304">
        <f t="shared" si="233"/>
        <v>3832.3</v>
      </c>
      <c r="R304">
        <f t="shared" si="234"/>
        <v>1134.7</v>
      </c>
      <c r="S304">
        <f t="shared" si="235"/>
        <v>649.2</v>
      </c>
      <c r="T304">
        <f t="shared" si="236"/>
        <v>0</v>
      </c>
      <c r="U304">
        <f t="shared" si="237"/>
        <v>4.525</v>
      </c>
      <c r="V304">
        <f t="shared" si="238"/>
        <v>4.9</v>
      </c>
      <c r="W304">
        <f t="shared" si="239"/>
        <v>0</v>
      </c>
      <c r="X304">
        <f t="shared" si="240"/>
        <v>1213.1</v>
      </c>
      <c r="Y304">
        <f t="shared" si="240"/>
        <v>642.2</v>
      </c>
      <c r="AA304">
        <v>42253831</v>
      </c>
      <c r="AB304">
        <f t="shared" si="241"/>
        <v>241.05</v>
      </c>
      <c r="AC304">
        <f t="shared" si="242"/>
        <v>12.44</v>
      </c>
      <c r="AD304">
        <f t="shared" si="243"/>
        <v>215.6</v>
      </c>
      <c r="AE304">
        <f t="shared" si="244"/>
        <v>22.74</v>
      </c>
      <c r="AF304">
        <f t="shared" si="244"/>
        <v>13.01</v>
      </c>
      <c r="AG304">
        <f t="shared" si="245"/>
        <v>0</v>
      </c>
      <c r="AH304">
        <f t="shared" si="246"/>
        <v>1.81</v>
      </c>
      <c r="AI304">
        <f t="shared" si="246"/>
        <v>1.96</v>
      </c>
      <c r="AJ304">
        <f t="shared" si="247"/>
        <v>0</v>
      </c>
      <c r="AK304">
        <v>241.05</v>
      </c>
      <c r="AL304">
        <v>12.44</v>
      </c>
      <c r="AM304">
        <v>215.6</v>
      </c>
      <c r="AN304">
        <v>22.74</v>
      </c>
      <c r="AO304">
        <v>13.01</v>
      </c>
      <c r="AP304">
        <v>0</v>
      </c>
      <c r="AQ304">
        <v>1.81</v>
      </c>
      <c r="AR304">
        <v>1.96</v>
      </c>
      <c r="AS304">
        <v>0</v>
      </c>
      <c r="AT304">
        <v>68</v>
      </c>
      <c r="AU304">
        <v>36</v>
      </c>
      <c r="AV304">
        <v>1</v>
      </c>
      <c r="AW304">
        <v>1</v>
      </c>
      <c r="AZ304">
        <v>1</v>
      </c>
      <c r="BA304">
        <v>19.96</v>
      </c>
      <c r="BB304">
        <v>7.11</v>
      </c>
      <c r="BC304">
        <v>5.66</v>
      </c>
      <c r="BH304">
        <v>0</v>
      </c>
      <c r="BI304">
        <v>1</v>
      </c>
      <c r="BJ304" t="s">
        <v>391</v>
      </c>
      <c r="BM304">
        <v>1006</v>
      </c>
      <c r="BN304">
        <v>0</v>
      </c>
      <c r="BO304" t="s">
        <v>27</v>
      </c>
      <c r="BP304">
        <v>1</v>
      </c>
      <c r="BQ304">
        <v>2</v>
      </c>
      <c r="BR304">
        <v>0</v>
      </c>
      <c r="BS304">
        <v>19.96</v>
      </c>
      <c r="BT304">
        <v>1</v>
      </c>
      <c r="BU304">
        <v>1</v>
      </c>
      <c r="BV304">
        <v>1</v>
      </c>
      <c r="BW304">
        <v>1</v>
      </c>
      <c r="BX304">
        <v>1</v>
      </c>
      <c r="BZ304">
        <v>80</v>
      </c>
      <c r="CA304">
        <v>45</v>
      </c>
      <c r="CF304">
        <v>0</v>
      </c>
      <c r="CG304">
        <v>0</v>
      </c>
      <c r="CM304">
        <v>0</v>
      </c>
      <c r="CO304">
        <v>0</v>
      </c>
      <c r="CP304">
        <f t="shared" si="248"/>
        <v>4657.5</v>
      </c>
      <c r="CQ304">
        <f t="shared" si="249"/>
        <v>70.4104</v>
      </c>
      <c r="CR304">
        <f t="shared" si="250"/>
        <v>1532.916</v>
      </c>
      <c r="CS304">
        <f t="shared" si="251"/>
        <v>453.8904</v>
      </c>
      <c r="CT304">
        <f t="shared" si="252"/>
        <v>259.6796</v>
      </c>
      <c r="CU304">
        <f t="shared" si="253"/>
        <v>0</v>
      </c>
      <c r="CV304">
        <f t="shared" si="253"/>
        <v>1.81</v>
      </c>
      <c r="CW304">
        <f t="shared" si="253"/>
        <v>1.96</v>
      </c>
      <c r="CX304">
        <f t="shared" si="253"/>
        <v>0</v>
      </c>
      <c r="CY304">
        <f t="shared" si="254"/>
        <v>1213.0520000000001</v>
      </c>
      <c r="CZ304">
        <f t="shared" si="255"/>
        <v>642.2040000000001</v>
      </c>
      <c r="DN304">
        <v>0</v>
      </c>
      <c r="DO304">
        <v>0</v>
      </c>
      <c r="DP304">
        <v>1</v>
      </c>
      <c r="DQ304">
        <v>1</v>
      </c>
      <c r="DU304">
        <v>1005</v>
      </c>
      <c r="DV304" t="s">
        <v>25</v>
      </c>
      <c r="DW304" t="s">
        <v>25</v>
      </c>
      <c r="DX304">
        <v>100</v>
      </c>
      <c r="EE304">
        <v>39125351</v>
      </c>
      <c r="EF304">
        <v>2</v>
      </c>
      <c r="EG304" t="s">
        <v>28</v>
      </c>
      <c r="EH304">
        <v>0</v>
      </c>
      <c r="EJ304">
        <v>1</v>
      </c>
      <c r="EK304">
        <v>1006</v>
      </c>
      <c r="EL304" t="s">
        <v>29</v>
      </c>
      <c r="EM304" t="s">
        <v>30</v>
      </c>
      <c r="EQ304">
        <v>0</v>
      </c>
      <c r="ER304">
        <v>241.05</v>
      </c>
      <c r="ES304">
        <v>12.44</v>
      </c>
      <c r="ET304">
        <v>215.6</v>
      </c>
      <c r="EU304">
        <v>22.74</v>
      </c>
      <c r="EV304">
        <v>13.01</v>
      </c>
      <c r="EW304">
        <v>1.81</v>
      </c>
      <c r="EX304">
        <v>1.96</v>
      </c>
      <c r="EY304">
        <v>0</v>
      </c>
      <c r="FQ304">
        <v>0</v>
      </c>
      <c r="FR304">
        <f t="shared" si="256"/>
        <v>0</v>
      </c>
      <c r="FS304">
        <v>0</v>
      </c>
      <c r="FV304" t="s">
        <v>31</v>
      </c>
      <c r="FW304" t="s">
        <v>32</v>
      </c>
      <c r="FX304">
        <v>80</v>
      </c>
      <c r="FY304">
        <v>45</v>
      </c>
      <c r="GD304">
        <v>0</v>
      </c>
      <c r="GF304">
        <v>-872866159</v>
      </c>
      <c r="GG304">
        <v>2</v>
      </c>
      <c r="GH304">
        <v>1</v>
      </c>
      <c r="GI304">
        <v>4</v>
      </c>
      <c r="GJ304">
        <v>0</v>
      </c>
      <c r="GK304">
        <f>ROUND(R304*(R12)/100,1)</f>
        <v>0</v>
      </c>
      <c r="GL304">
        <f t="shared" si="257"/>
        <v>0</v>
      </c>
      <c r="GM304">
        <f t="shared" si="258"/>
        <v>6512.8</v>
      </c>
      <c r="GN304">
        <f t="shared" si="259"/>
        <v>6512.8</v>
      </c>
      <c r="GO304">
        <f t="shared" si="260"/>
        <v>0</v>
      </c>
      <c r="GP304">
        <f t="shared" si="261"/>
        <v>0</v>
      </c>
      <c r="GR304">
        <v>0</v>
      </c>
      <c r="GS304">
        <v>3</v>
      </c>
      <c r="GT304">
        <v>0</v>
      </c>
      <c r="GV304">
        <f t="shared" si="262"/>
        <v>0</v>
      </c>
      <c r="GW304">
        <v>19.96</v>
      </c>
      <c r="GX304">
        <f t="shared" si="263"/>
        <v>0</v>
      </c>
      <c r="HA304">
        <v>0</v>
      </c>
      <c r="HB304">
        <v>0</v>
      </c>
      <c r="IK304">
        <v>0</v>
      </c>
    </row>
    <row r="306" spans="1:206" ht="12.75">
      <c r="A306" s="2">
        <v>51</v>
      </c>
      <c r="B306" s="2">
        <f>B295</f>
        <v>1</v>
      </c>
      <c r="C306" s="2">
        <f>A295</f>
        <v>4</v>
      </c>
      <c r="D306" s="2">
        <f>ROW(A295)</f>
        <v>295</v>
      </c>
      <c r="E306" s="2"/>
      <c r="F306" s="2" t="str">
        <f>IF(F295&lt;&gt;"",F295,"")</f>
        <v>Новый раздел</v>
      </c>
      <c r="G306" s="2" t="str">
        <f>IF(G295&lt;&gt;"",G295,"")</f>
        <v>Восстановление газонов, благоустройство</v>
      </c>
      <c r="H306" s="2">
        <v>0</v>
      </c>
      <c r="I306" s="2"/>
      <c r="J306" s="2"/>
      <c r="K306" s="2"/>
      <c r="L306" s="2"/>
      <c r="M306" s="2"/>
      <c r="N306" s="2"/>
      <c r="O306" s="2">
        <f aca="true" t="shared" si="264" ref="O306:T306">ROUND(AB306,1)</f>
        <v>38845.1</v>
      </c>
      <c r="P306" s="2">
        <f t="shared" si="264"/>
        <v>24115.6</v>
      </c>
      <c r="Q306" s="2">
        <f t="shared" si="264"/>
        <v>3837.5</v>
      </c>
      <c r="R306" s="2">
        <f t="shared" si="264"/>
        <v>1136.3</v>
      </c>
      <c r="S306" s="2">
        <f t="shared" si="264"/>
        <v>10892</v>
      </c>
      <c r="T306" s="2">
        <f t="shared" si="264"/>
        <v>0</v>
      </c>
      <c r="U306" s="2">
        <f>AH306</f>
        <v>68.005</v>
      </c>
      <c r="V306" s="2">
        <f>AI306</f>
        <v>4.906000000000001</v>
      </c>
      <c r="W306" s="2">
        <f>ROUND(AJ306,1)</f>
        <v>0</v>
      </c>
      <c r="X306" s="2">
        <f>ROUND(AK306,1)</f>
        <v>10804.6</v>
      </c>
      <c r="Y306" s="2">
        <f>ROUND(AL306,1)</f>
        <v>7174.8</v>
      </c>
      <c r="Z306" s="2"/>
      <c r="AA306" s="2"/>
      <c r="AB306" s="2">
        <f>ROUND(SUMIF(AA299:AA304,"=42253831",O299:O304),1)</f>
        <v>38845.1</v>
      </c>
      <c r="AC306" s="2">
        <f>ROUND(SUMIF(AA299:AA304,"=42253831",P299:P304),1)</f>
        <v>24115.6</v>
      </c>
      <c r="AD306" s="2">
        <f>ROUND(SUMIF(AA299:AA304,"=42253831",Q299:Q304),1)</f>
        <v>3837.5</v>
      </c>
      <c r="AE306" s="2">
        <f>ROUND(SUMIF(AA299:AA304,"=42253831",R299:R304),1)</f>
        <v>1136.3</v>
      </c>
      <c r="AF306" s="2">
        <f>ROUND(SUMIF(AA299:AA304,"=42253831",S299:S304),1)</f>
        <v>10892</v>
      </c>
      <c r="AG306" s="2">
        <f>ROUND(SUMIF(AA299:AA304,"=42253831",T299:T304),1)</f>
        <v>0</v>
      </c>
      <c r="AH306" s="2">
        <f>SUMIF(AA299:AA304,"=42253831",U299:U304)</f>
        <v>68.005</v>
      </c>
      <c r="AI306" s="2">
        <f>SUMIF(AA299:AA304,"=42253831",V299:V304)</f>
        <v>4.906000000000001</v>
      </c>
      <c r="AJ306" s="2">
        <f>ROUND(SUMIF(AA299:AA304,"=42253831",W299:W304),1)</f>
        <v>0</v>
      </c>
      <c r="AK306" s="2">
        <f>ROUND(SUMIF(AA299:AA304,"=42253831",X299:X304),1)</f>
        <v>10804.6</v>
      </c>
      <c r="AL306" s="2">
        <f>ROUND(SUMIF(AA299:AA304,"=42253831",Y299:Y304),1)</f>
        <v>7174.8</v>
      </c>
      <c r="AM306" s="2"/>
      <c r="AN306" s="2"/>
      <c r="AO306" s="2">
        <f aca="true" t="shared" si="265" ref="AO306:BC306">ROUND(BX306,1)</f>
        <v>0</v>
      </c>
      <c r="AP306" s="2">
        <f t="shared" si="265"/>
        <v>0</v>
      </c>
      <c r="AQ306" s="2">
        <f t="shared" si="265"/>
        <v>0</v>
      </c>
      <c r="AR306" s="2">
        <f t="shared" si="265"/>
        <v>56824.5</v>
      </c>
      <c r="AS306" s="2">
        <f t="shared" si="265"/>
        <v>56824.5</v>
      </c>
      <c r="AT306" s="2">
        <f t="shared" si="265"/>
        <v>0</v>
      </c>
      <c r="AU306" s="2">
        <f t="shared" si="265"/>
        <v>0</v>
      </c>
      <c r="AV306" s="2">
        <f t="shared" si="265"/>
        <v>24115.6</v>
      </c>
      <c r="AW306" s="2">
        <f t="shared" si="265"/>
        <v>24115.6</v>
      </c>
      <c r="AX306" s="2">
        <f t="shared" si="265"/>
        <v>0</v>
      </c>
      <c r="AY306" s="2">
        <f t="shared" si="265"/>
        <v>24115.6</v>
      </c>
      <c r="AZ306" s="2">
        <f t="shared" si="265"/>
        <v>0</v>
      </c>
      <c r="BA306" s="2">
        <f t="shared" si="265"/>
        <v>0</v>
      </c>
      <c r="BB306" s="2">
        <f t="shared" si="265"/>
        <v>0</v>
      </c>
      <c r="BC306" s="2">
        <f t="shared" si="265"/>
        <v>0</v>
      </c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>
        <f>ROUND(SUMIF(AA299:AA304,"=42253831",FQ299:FQ304),1)</f>
        <v>0</v>
      </c>
      <c r="BY306" s="2">
        <f>ROUND(SUMIF(AA299:AA304,"=42253831",FR299:FR304),1)</f>
        <v>0</v>
      </c>
      <c r="BZ306" s="2">
        <f>ROUND(SUMIF(AA299:AA304,"=42253831",GL299:GL304),1)</f>
        <v>0</v>
      </c>
      <c r="CA306" s="2">
        <f>ROUND(SUMIF(AA299:AA304,"=42253831",GM299:GM304),1)</f>
        <v>56824.5</v>
      </c>
      <c r="CB306" s="2">
        <f>ROUND(SUMIF(AA299:AA304,"=42253831",GN299:GN304),1)</f>
        <v>56824.5</v>
      </c>
      <c r="CC306" s="2">
        <f>ROUND(SUMIF(AA299:AA304,"=42253831",GO299:GO304),1)</f>
        <v>0</v>
      </c>
      <c r="CD306" s="2">
        <f>ROUND(SUMIF(AA299:AA304,"=42253831",GP299:GP304),1)</f>
        <v>0</v>
      </c>
      <c r="CE306" s="2">
        <f>AC306-BX306</f>
        <v>24115.6</v>
      </c>
      <c r="CF306" s="2">
        <f>AC306-BY306</f>
        <v>24115.6</v>
      </c>
      <c r="CG306" s="2">
        <f>BX306-BZ306</f>
        <v>0</v>
      </c>
      <c r="CH306" s="2">
        <f>AC306-BX306-BY306+BZ306</f>
        <v>24115.6</v>
      </c>
      <c r="CI306" s="2">
        <f>BY306-BZ306</f>
        <v>0</v>
      </c>
      <c r="CJ306" s="2">
        <f>ROUND(SUMIF(AA299:AA304,"=42253831",GX299:GX304),1)</f>
        <v>0</v>
      </c>
      <c r="CK306" s="2">
        <f>ROUND(SUMIF(AA299:AA304,"=42253831",GY299:GY304),1)</f>
        <v>0</v>
      </c>
      <c r="CL306" s="2">
        <f>ROUND(SUMIF(AA299:AA304,"=42253831",GZ299:GZ304),1)</f>
        <v>0</v>
      </c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>
        <v>0</v>
      </c>
    </row>
    <row r="308" spans="1:23" ht="12.75">
      <c r="A308" s="4">
        <v>50</v>
      </c>
      <c r="B308" s="4">
        <v>0</v>
      </c>
      <c r="C308" s="4">
        <v>0</v>
      </c>
      <c r="D308" s="4">
        <v>1</v>
      </c>
      <c r="E308" s="4">
        <v>201</v>
      </c>
      <c r="F308" s="4">
        <f>ROUND(Source!O306,O308)</f>
        <v>38845.1</v>
      </c>
      <c r="G308" s="4" t="s">
        <v>50</v>
      </c>
      <c r="H308" s="4" t="s">
        <v>51</v>
      </c>
      <c r="I308" s="4"/>
      <c r="J308" s="4"/>
      <c r="K308" s="4">
        <v>201</v>
      </c>
      <c r="L308" s="4">
        <v>1</v>
      </c>
      <c r="M308" s="4">
        <v>3</v>
      </c>
      <c r="N308" s="4" t="s">
        <v>3</v>
      </c>
      <c r="O308" s="4">
        <v>1</v>
      </c>
      <c r="P308" s="4"/>
      <c r="Q308" s="4"/>
      <c r="R308" s="4"/>
      <c r="S308" s="4"/>
      <c r="T308" s="4"/>
      <c r="U308" s="4"/>
      <c r="V308" s="4"/>
      <c r="W308" s="4"/>
    </row>
    <row r="309" spans="1:23" ht="12.75">
      <c r="A309" s="4">
        <v>50</v>
      </c>
      <c r="B309" s="4">
        <v>0</v>
      </c>
      <c r="C309" s="4">
        <v>0</v>
      </c>
      <c r="D309" s="4">
        <v>1</v>
      </c>
      <c r="E309" s="4">
        <v>202</v>
      </c>
      <c r="F309" s="4">
        <f>ROUND(Source!P306,O309)</f>
        <v>24115.6</v>
      </c>
      <c r="G309" s="4" t="s">
        <v>52</v>
      </c>
      <c r="H309" s="4" t="s">
        <v>53</v>
      </c>
      <c r="I309" s="4"/>
      <c r="J309" s="4"/>
      <c r="K309" s="4">
        <v>202</v>
      </c>
      <c r="L309" s="4">
        <v>2</v>
      </c>
      <c r="M309" s="4">
        <v>3</v>
      </c>
      <c r="N309" s="4" t="s">
        <v>3</v>
      </c>
      <c r="O309" s="4">
        <v>1</v>
      </c>
      <c r="P309" s="4"/>
      <c r="Q309" s="4"/>
      <c r="R309" s="4"/>
      <c r="S309" s="4"/>
      <c r="T309" s="4"/>
      <c r="U309" s="4"/>
      <c r="V309" s="4"/>
      <c r="W309" s="4"/>
    </row>
    <row r="310" spans="1:23" ht="12.75">
      <c r="A310" s="4">
        <v>50</v>
      </c>
      <c r="B310" s="4">
        <v>0</v>
      </c>
      <c r="C310" s="4">
        <v>0</v>
      </c>
      <c r="D310" s="4">
        <v>1</v>
      </c>
      <c r="E310" s="4">
        <v>222</v>
      </c>
      <c r="F310" s="4">
        <f>ROUND(Source!AO306,O310)</f>
        <v>0</v>
      </c>
      <c r="G310" s="4" t="s">
        <v>54</v>
      </c>
      <c r="H310" s="4" t="s">
        <v>55</v>
      </c>
      <c r="I310" s="4"/>
      <c r="J310" s="4"/>
      <c r="K310" s="4">
        <v>222</v>
      </c>
      <c r="L310" s="4">
        <v>3</v>
      </c>
      <c r="M310" s="4">
        <v>3</v>
      </c>
      <c r="N310" s="4" t="s">
        <v>3</v>
      </c>
      <c r="O310" s="4">
        <v>1</v>
      </c>
      <c r="P310" s="4"/>
      <c r="Q310" s="4"/>
      <c r="R310" s="4"/>
      <c r="S310" s="4"/>
      <c r="T310" s="4"/>
      <c r="U310" s="4"/>
      <c r="V310" s="4"/>
      <c r="W310" s="4"/>
    </row>
    <row r="311" spans="1:23" ht="12.75">
      <c r="A311" s="4">
        <v>50</v>
      </c>
      <c r="B311" s="4">
        <v>0</v>
      </c>
      <c r="C311" s="4">
        <v>0</v>
      </c>
      <c r="D311" s="4">
        <v>1</v>
      </c>
      <c r="E311" s="4">
        <v>225</v>
      </c>
      <c r="F311" s="4">
        <f>ROUND(Source!AV306,O311)</f>
        <v>24115.6</v>
      </c>
      <c r="G311" s="4" t="s">
        <v>56</v>
      </c>
      <c r="H311" s="4" t="s">
        <v>57</v>
      </c>
      <c r="I311" s="4"/>
      <c r="J311" s="4"/>
      <c r="K311" s="4">
        <v>225</v>
      </c>
      <c r="L311" s="4">
        <v>4</v>
      </c>
      <c r="M311" s="4">
        <v>3</v>
      </c>
      <c r="N311" s="4" t="s">
        <v>3</v>
      </c>
      <c r="O311" s="4">
        <v>1</v>
      </c>
      <c r="P311" s="4"/>
      <c r="Q311" s="4"/>
      <c r="R311" s="4"/>
      <c r="S311" s="4"/>
      <c r="T311" s="4"/>
      <c r="U311" s="4"/>
      <c r="V311" s="4"/>
      <c r="W311" s="4"/>
    </row>
    <row r="312" spans="1:23" ht="12.75">
      <c r="A312" s="4">
        <v>50</v>
      </c>
      <c r="B312" s="4">
        <v>0</v>
      </c>
      <c r="C312" s="4">
        <v>0</v>
      </c>
      <c r="D312" s="4">
        <v>1</v>
      </c>
      <c r="E312" s="4">
        <v>226</v>
      </c>
      <c r="F312" s="4">
        <f>ROUND(Source!AW306,O312)</f>
        <v>24115.6</v>
      </c>
      <c r="G312" s="4" t="s">
        <v>58</v>
      </c>
      <c r="H312" s="4" t="s">
        <v>59</v>
      </c>
      <c r="I312" s="4"/>
      <c r="J312" s="4"/>
      <c r="K312" s="4">
        <v>226</v>
      </c>
      <c r="L312" s="4">
        <v>5</v>
      </c>
      <c r="M312" s="4">
        <v>3</v>
      </c>
      <c r="N312" s="4" t="s">
        <v>3</v>
      </c>
      <c r="O312" s="4">
        <v>1</v>
      </c>
      <c r="P312" s="4"/>
      <c r="Q312" s="4"/>
      <c r="R312" s="4"/>
      <c r="S312" s="4"/>
      <c r="T312" s="4"/>
      <c r="U312" s="4"/>
      <c r="V312" s="4"/>
      <c r="W312" s="4"/>
    </row>
    <row r="313" spans="1:23" ht="12.75">
      <c r="A313" s="4">
        <v>50</v>
      </c>
      <c r="B313" s="4">
        <v>0</v>
      </c>
      <c r="C313" s="4">
        <v>0</v>
      </c>
      <c r="D313" s="4">
        <v>1</v>
      </c>
      <c r="E313" s="4">
        <v>227</v>
      </c>
      <c r="F313" s="4">
        <f>ROUND(Source!AX306,O313)</f>
        <v>0</v>
      </c>
      <c r="G313" s="4" t="s">
        <v>60</v>
      </c>
      <c r="H313" s="4" t="s">
        <v>61</v>
      </c>
      <c r="I313" s="4"/>
      <c r="J313" s="4"/>
      <c r="K313" s="4">
        <v>227</v>
      </c>
      <c r="L313" s="4">
        <v>6</v>
      </c>
      <c r="M313" s="4">
        <v>3</v>
      </c>
      <c r="N313" s="4" t="s">
        <v>3</v>
      </c>
      <c r="O313" s="4">
        <v>1</v>
      </c>
      <c r="P313" s="4"/>
      <c r="Q313" s="4"/>
      <c r="R313" s="4"/>
      <c r="S313" s="4"/>
      <c r="T313" s="4"/>
      <c r="U313" s="4"/>
      <c r="V313" s="4"/>
      <c r="W313" s="4"/>
    </row>
    <row r="314" spans="1:23" ht="12.75">
      <c r="A314" s="4">
        <v>50</v>
      </c>
      <c r="B314" s="4">
        <v>0</v>
      </c>
      <c r="C314" s="4">
        <v>0</v>
      </c>
      <c r="D314" s="4">
        <v>1</v>
      </c>
      <c r="E314" s="4">
        <v>228</v>
      </c>
      <c r="F314" s="4">
        <f>ROUND(Source!AY306,O314)</f>
        <v>24115.6</v>
      </c>
      <c r="G314" s="4" t="s">
        <v>62</v>
      </c>
      <c r="H314" s="4" t="s">
        <v>63</v>
      </c>
      <c r="I314" s="4"/>
      <c r="J314" s="4"/>
      <c r="K314" s="4">
        <v>228</v>
      </c>
      <c r="L314" s="4">
        <v>7</v>
      </c>
      <c r="M314" s="4">
        <v>3</v>
      </c>
      <c r="N314" s="4" t="s">
        <v>3</v>
      </c>
      <c r="O314" s="4">
        <v>1</v>
      </c>
      <c r="P314" s="4"/>
      <c r="Q314" s="4"/>
      <c r="R314" s="4"/>
      <c r="S314" s="4"/>
      <c r="T314" s="4"/>
      <c r="U314" s="4"/>
      <c r="V314" s="4"/>
      <c r="W314" s="4"/>
    </row>
    <row r="315" spans="1:23" ht="12.75">
      <c r="A315" s="4">
        <v>50</v>
      </c>
      <c r="B315" s="4">
        <v>0</v>
      </c>
      <c r="C315" s="4">
        <v>0</v>
      </c>
      <c r="D315" s="4">
        <v>1</v>
      </c>
      <c r="E315" s="4">
        <v>216</v>
      </c>
      <c r="F315" s="4">
        <f>ROUND(Source!AP306,O315)</f>
        <v>0</v>
      </c>
      <c r="G315" s="4" t="s">
        <v>64</v>
      </c>
      <c r="H315" s="4" t="s">
        <v>65</v>
      </c>
      <c r="I315" s="4"/>
      <c r="J315" s="4"/>
      <c r="K315" s="4">
        <v>216</v>
      </c>
      <c r="L315" s="4">
        <v>8</v>
      </c>
      <c r="M315" s="4">
        <v>3</v>
      </c>
      <c r="N315" s="4" t="s">
        <v>3</v>
      </c>
      <c r="O315" s="4">
        <v>1</v>
      </c>
      <c r="P315" s="4"/>
      <c r="Q315" s="4"/>
      <c r="R315" s="4"/>
      <c r="S315" s="4"/>
      <c r="T315" s="4"/>
      <c r="U315" s="4"/>
      <c r="V315" s="4"/>
      <c r="W315" s="4"/>
    </row>
    <row r="316" spans="1:23" ht="12.75">
      <c r="A316" s="4">
        <v>50</v>
      </c>
      <c r="B316" s="4">
        <v>0</v>
      </c>
      <c r="C316" s="4">
        <v>0</v>
      </c>
      <c r="D316" s="4">
        <v>1</v>
      </c>
      <c r="E316" s="4">
        <v>223</v>
      </c>
      <c r="F316" s="4">
        <f>ROUND(Source!AQ306,O316)</f>
        <v>0</v>
      </c>
      <c r="G316" s="4" t="s">
        <v>66</v>
      </c>
      <c r="H316" s="4" t="s">
        <v>67</v>
      </c>
      <c r="I316" s="4"/>
      <c r="J316" s="4"/>
      <c r="K316" s="4">
        <v>223</v>
      </c>
      <c r="L316" s="4">
        <v>9</v>
      </c>
      <c r="M316" s="4">
        <v>3</v>
      </c>
      <c r="N316" s="4" t="s">
        <v>3</v>
      </c>
      <c r="O316" s="4">
        <v>1</v>
      </c>
      <c r="P316" s="4"/>
      <c r="Q316" s="4"/>
      <c r="R316" s="4"/>
      <c r="S316" s="4"/>
      <c r="T316" s="4"/>
      <c r="U316" s="4"/>
      <c r="V316" s="4"/>
      <c r="W316" s="4"/>
    </row>
    <row r="317" spans="1:23" ht="12.75">
      <c r="A317" s="4">
        <v>50</v>
      </c>
      <c r="B317" s="4">
        <v>0</v>
      </c>
      <c r="C317" s="4">
        <v>0</v>
      </c>
      <c r="D317" s="4">
        <v>1</v>
      </c>
      <c r="E317" s="4">
        <v>229</v>
      </c>
      <c r="F317" s="4">
        <f>ROUND(Source!AZ306,O317)</f>
        <v>0</v>
      </c>
      <c r="G317" s="4" t="s">
        <v>68</v>
      </c>
      <c r="H317" s="4" t="s">
        <v>69</v>
      </c>
      <c r="I317" s="4"/>
      <c r="J317" s="4"/>
      <c r="K317" s="4">
        <v>229</v>
      </c>
      <c r="L317" s="4">
        <v>10</v>
      </c>
      <c r="M317" s="4">
        <v>3</v>
      </c>
      <c r="N317" s="4" t="s">
        <v>3</v>
      </c>
      <c r="O317" s="4">
        <v>1</v>
      </c>
      <c r="P317" s="4"/>
      <c r="Q317" s="4"/>
      <c r="R317" s="4"/>
      <c r="S317" s="4"/>
      <c r="T317" s="4"/>
      <c r="U317" s="4"/>
      <c r="V317" s="4"/>
      <c r="W317" s="4"/>
    </row>
    <row r="318" spans="1:23" ht="12.75">
      <c r="A318" s="4">
        <v>50</v>
      </c>
      <c r="B318" s="4">
        <v>0</v>
      </c>
      <c r="C318" s="4">
        <v>0</v>
      </c>
      <c r="D318" s="4">
        <v>1</v>
      </c>
      <c r="E318" s="4">
        <v>203</v>
      </c>
      <c r="F318" s="4">
        <f>ROUND(Source!Q306,O318)</f>
        <v>3837.5</v>
      </c>
      <c r="G318" s="4" t="s">
        <v>70</v>
      </c>
      <c r="H318" s="4" t="s">
        <v>71</v>
      </c>
      <c r="I318" s="4"/>
      <c r="J318" s="4"/>
      <c r="K318" s="4">
        <v>203</v>
      </c>
      <c r="L318" s="4">
        <v>11</v>
      </c>
      <c r="M318" s="4">
        <v>3</v>
      </c>
      <c r="N318" s="4" t="s">
        <v>3</v>
      </c>
      <c r="O318" s="4">
        <v>1</v>
      </c>
      <c r="P318" s="4"/>
      <c r="Q318" s="4"/>
      <c r="R318" s="4"/>
      <c r="S318" s="4"/>
      <c r="T318" s="4"/>
      <c r="U318" s="4"/>
      <c r="V318" s="4"/>
      <c r="W318" s="4"/>
    </row>
    <row r="319" spans="1:23" ht="12.75">
      <c r="A319" s="4">
        <v>50</v>
      </c>
      <c r="B319" s="4">
        <v>0</v>
      </c>
      <c r="C319" s="4">
        <v>0</v>
      </c>
      <c r="D319" s="4">
        <v>1</v>
      </c>
      <c r="E319" s="4">
        <v>231</v>
      </c>
      <c r="F319" s="4">
        <f>ROUND(Source!BB306,O319)</f>
        <v>0</v>
      </c>
      <c r="G319" s="4" t="s">
        <v>72</v>
      </c>
      <c r="H319" s="4" t="s">
        <v>73</v>
      </c>
      <c r="I319" s="4"/>
      <c r="J319" s="4"/>
      <c r="K319" s="4">
        <v>231</v>
      </c>
      <c r="L319" s="4">
        <v>12</v>
      </c>
      <c r="M319" s="4">
        <v>3</v>
      </c>
      <c r="N319" s="4" t="s">
        <v>3</v>
      </c>
      <c r="O319" s="4">
        <v>1</v>
      </c>
      <c r="P319" s="4"/>
      <c r="Q319" s="4"/>
      <c r="R319" s="4"/>
      <c r="S319" s="4"/>
      <c r="T319" s="4"/>
      <c r="U319" s="4"/>
      <c r="V319" s="4"/>
      <c r="W319" s="4"/>
    </row>
    <row r="320" spans="1:23" ht="12.75">
      <c r="A320" s="4">
        <v>50</v>
      </c>
      <c r="B320" s="4">
        <v>0</v>
      </c>
      <c r="C320" s="4">
        <v>0</v>
      </c>
      <c r="D320" s="4">
        <v>1</v>
      </c>
      <c r="E320" s="4">
        <v>204</v>
      </c>
      <c r="F320" s="4">
        <f>ROUND(Source!R306,O320)</f>
        <v>1136.3</v>
      </c>
      <c r="G320" s="4" t="s">
        <v>74</v>
      </c>
      <c r="H320" s="4" t="s">
        <v>75</v>
      </c>
      <c r="I320" s="4"/>
      <c r="J320" s="4"/>
      <c r="K320" s="4">
        <v>204</v>
      </c>
      <c r="L320" s="4">
        <v>13</v>
      </c>
      <c r="M320" s="4">
        <v>3</v>
      </c>
      <c r="N320" s="4" t="s">
        <v>3</v>
      </c>
      <c r="O320" s="4">
        <v>1</v>
      </c>
      <c r="P320" s="4"/>
      <c r="Q320" s="4"/>
      <c r="R320" s="4"/>
      <c r="S320" s="4"/>
      <c r="T320" s="4"/>
      <c r="U320" s="4"/>
      <c r="V320" s="4"/>
      <c r="W320" s="4"/>
    </row>
    <row r="321" spans="1:23" ht="12.75">
      <c r="A321" s="4">
        <v>50</v>
      </c>
      <c r="B321" s="4">
        <v>0</v>
      </c>
      <c r="C321" s="4">
        <v>0</v>
      </c>
      <c r="D321" s="4">
        <v>1</v>
      </c>
      <c r="E321" s="4">
        <v>205</v>
      </c>
      <c r="F321" s="4">
        <f>ROUND(Source!S306,O321)</f>
        <v>10892</v>
      </c>
      <c r="G321" s="4" t="s">
        <v>76</v>
      </c>
      <c r="H321" s="4" t="s">
        <v>77</v>
      </c>
      <c r="I321" s="4"/>
      <c r="J321" s="4"/>
      <c r="K321" s="4">
        <v>205</v>
      </c>
      <c r="L321" s="4">
        <v>14</v>
      </c>
      <c r="M321" s="4">
        <v>3</v>
      </c>
      <c r="N321" s="4" t="s">
        <v>3</v>
      </c>
      <c r="O321" s="4">
        <v>1</v>
      </c>
      <c r="P321" s="4"/>
      <c r="Q321" s="4"/>
      <c r="R321" s="4"/>
      <c r="S321" s="4"/>
      <c r="T321" s="4"/>
      <c r="U321" s="4"/>
      <c r="V321" s="4"/>
      <c r="W321" s="4"/>
    </row>
    <row r="322" spans="1:23" ht="12.75">
      <c r="A322" s="4">
        <v>50</v>
      </c>
      <c r="B322" s="4">
        <v>0</v>
      </c>
      <c r="C322" s="4">
        <v>0</v>
      </c>
      <c r="D322" s="4">
        <v>1</v>
      </c>
      <c r="E322" s="4">
        <v>232</v>
      </c>
      <c r="F322" s="4">
        <f>ROUND(Source!BC306,O322)</f>
        <v>0</v>
      </c>
      <c r="G322" s="4" t="s">
        <v>78</v>
      </c>
      <c r="H322" s="4" t="s">
        <v>79</v>
      </c>
      <c r="I322" s="4"/>
      <c r="J322" s="4"/>
      <c r="K322" s="4">
        <v>232</v>
      </c>
      <c r="L322" s="4">
        <v>15</v>
      </c>
      <c r="M322" s="4">
        <v>3</v>
      </c>
      <c r="N322" s="4" t="s">
        <v>3</v>
      </c>
      <c r="O322" s="4">
        <v>1</v>
      </c>
      <c r="P322" s="4"/>
      <c r="Q322" s="4"/>
      <c r="R322" s="4"/>
      <c r="S322" s="4"/>
      <c r="T322" s="4"/>
      <c r="U322" s="4"/>
      <c r="V322" s="4"/>
      <c r="W322" s="4"/>
    </row>
    <row r="323" spans="1:23" ht="12.75">
      <c r="A323" s="4">
        <v>50</v>
      </c>
      <c r="B323" s="4">
        <v>0</v>
      </c>
      <c r="C323" s="4">
        <v>0</v>
      </c>
      <c r="D323" s="4">
        <v>1</v>
      </c>
      <c r="E323" s="4">
        <v>214</v>
      </c>
      <c r="F323" s="4">
        <f>ROUND(Source!AS306,O323)</f>
        <v>56824.5</v>
      </c>
      <c r="G323" s="4" t="s">
        <v>80</v>
      </c>
      <c r="H323" s="4" t="s">
        <v>81</v>
      </c>
      <c r="I323" s="4"/>
      <c r="J323" s="4"/>
      <c r="K323" s="4">
        <v>214</v>
      </c>
      <c r="L323" s="4">
        <v>16</v>
      </c>
      <c r="M323" s="4">
        <v>3</v>
      </c>
      <c r="N323" s="4" t="s">
        <v>3</v>
      </c>
      <c r="O323" s="4">
        <v>1</v>
      </c>
      <c r="P323" s="4"/>
      <c r="Q323" s="4"/>
      <c r="R323" s="4"/>
      <c r="S323" s="4"/>
      <c r="T323" s="4"/>
      <c r="U323" s="4"/>
      <c r="V323" s="4"/>
      <c r="W323" s="4"/>
    </row>
    <row r="324" spans="1:23" ht="12.75">
      <c r="A324" s="4">
        <v>50</v>
      </c>
      <c r="B324" s="4">
        <v>0</v>
      </c>
      <c r="C324" s="4">
        <v>0</v>
      </c>
      <c r="D324" s="4">
        <v>1</v>
      </c>
      <c r="E324" s="4">
        <v>215</v>
      </c>
      <c r="F324" s="4">
        <f>ROUND(Source!AT306,O324)</f>
        <v>0</v>
      </c>
      <c r="G324" s="4" t="s">
        <v>82</v>
      </c>
      <c r="H324" s="4" t="s">
        <v>83</v>
      </c>
      <c r="I324" s="4"/>
      <c r="J324" s="4"/>
      <c r="K324" s="4">
        <v>215</v>
      </c>
      <c r="L324" s="4">
        <v>17</v>
      </c>
      <c r="M324" s="4">
        <v>3</v>
      </c>
      <c r="N324" s="4" t="s">
        <v>3</v>
      </c>
      <c r="O324" s="4">
        <v>1</v>
      </c>
      <c r="P324" s="4"/>
      <c r="Q324" s="4"/>
      <c r="R324" s="4"/>
      <c r="S324" s="4"/>
      <c r="T324" s="4"/>
      <c r="U324" s="4"/>
      <c r="V324" s="4"/>
      <c r="W324" s="4"/>
    </row>
    <row r="325" spans="1:23" ht="12.75">
      <c r="A325" s="4">
        <v>50</v>
      </c>
      <c r="B325" s="4">
        <v>0</v>
      </c>
      <c r="C325" s="4">
        <v>0</v>
      </c>
      <c r="D325" s="4">
        <v>1</v>
      </c>
      <c r="E325" s="4">
        <v>217</v>
      </c>
      <c r="F325" s="4">
        <f>ROUND(Source!AU306,O325)</f>
        <v>0</v>
      </c>
      <c r="G325" s="4" t="s">
        <v>84</v>
      </c>
      <c r="H325" s="4" t="s">
        <v>85</v>
      </c>
      <c r="I325" s="4"/>
      <c r="J325" s="4"/>
      <c r="K325" s="4">
        <v>217</v>
      </c>
      <c r="L325" s="4">
        <v>18</v>
      </c>
      <c r="M325" s="4">
        <v>3</v>
      </c>
      <c r="N325" s="4" t="s">
        <v>3</v>
      </c>
      <c r="O325" s="4">
        <v>1</v>
      </c>
      <c r="P325" s="4"/>
      <c r="Q325" s="4"/>
      <c r="R325" s="4"/>
      <c r="S325" s="4"/>
      <c r="T325" s="4"/>
      <c r="U325" s="4"/>
      <c r="V325" s="4"/>
      <c r="W325" s="4"/>
    </row>
    <row r="326" spans="1:23" ht="12.75">
      <c r="A326" s="4">
        <v>50</v>
      </c>
      <c r="B326" s="4">
        <v>0</v>
      </c>
      <c r="C326" s="4">
        <v>0</v>
      </c>
      <c r="D326" s="4">
        <v>1</v>
      </c>
      <c r="E326" s="4">
        <v>230</v>
      </c>
      <c r="F326" s="4">
        <f>ROUND(Source!BA306,O326)</f>
        <v>0</v>
      </c>
      <c r="G326" s="4" t="s">
        <v>86</v>
      </c>
      <c r="H326" s="4" t="s">
        <v>87</v>
      </c>
      <c r="I326" s="4"/>
      <c r="J326" s="4"/>
      <c r="K326" s="4">
        <v>230</v>
      </c>
      <c r="L326" s="4">
        <v>19</v>
      </c>
      <c r="M326" s="4">
        <v>3</v>
      </c>
      <c r="N326" s="4" t="s">
        <v>3</v>
      </c>
      <c r="O326" s="4">
        <v>1</v>
      </c>
      <c r="P326" s="4"/>
      <c r="Q326" s="4"/>
      <c r="R326" s="4"/>
      <c r="S326" s="4"/>
      <c r="T326" s="4"/>
      <c r="U326" s="4"/>
      <c r="V326" s="4"/>
      <c r="W326" s="4"/>
    </row>
    <row r="327" spans="1:23" ht="12.75">
      <c r="A327" s="4">
        <v>50</v>
      </c>
      <c r="B327" s="4">
        <v>0</v>
      </c>
      <c r="C327" s="4">
        <v>0</v>
      </c>
      <c r="D327" s="4">
        <v>1</v>
      </c>
      <c r="E327" s="4">
        <v>206</v>
      </c>
      <c r="F327" s="4">
        <f>ROUND(Source!T306,O327)</f>
        <v>0</v>
      </c>
      <c r="G327" s="4" t="s">
        <v>88</v>
      </c>
      <c r="H327" s="4" t="s">
        <v>89</v>
      </c>
      <c r="I327" s="4"/>
      <c r="J327" s="4"/>
      <c r="K327" s="4">
        <v>206</v>
      </c>
      <c r="L327" s="4">
        <v>20</v>
      </c>
      <c r="M327" s="4">
        <v>3</v>
      </c>
      <c r="N327" s="4" t="s">
        <v>3</v>
      </c>
      <c r="O327" s="4">
        <v>1</v>
      </c>
      <c r="P327" s="4"/>
      <c r="Q327" s="4"/>
      <c r="R327" s="4"/>
      <c r="S327" s="4"/>
      <c r="T327" s="4"/>
      <c r="U327" s="4"/>
      <c r="V327" s="4"/>
      <c r="W327" s="4"/>
    </row>
    <row r="328" spans="1:23" ht="12.75">
      <c r="A328" s="4">
        <v>50</v>
      </c>
      <c r="B328" s="4">
        <v>0</v>
      </c>
      <c r="C328" s="4">
        <v>0</v>
      </c>
      <c r="D328" s="4">
        <v>1</v>
      </c>
      <c r="E328" s="4">
        <v>207</v>
      </c>
      <c r="F328" s="4">
        <f>Source!U306</f>
        <v>68.005</v>
      </c>
      <c r="G328" s="4" t="s">
        <v>90</v>
      </c>
      <c r="H328" s="4" t="s">
        <v>91</v>
      </c>
      <c r="I328" s="4"/>
      <c r="J328" s="4"/>
      <c r="K328" s="4">
        <v>207</v>
      </c>
      <c r="L328" s="4">
        <v>21</v>
      </c>
      <c r="M328" s="4">
        <v>3</v>
      </c>
      <c r="N328" s="4" t="s">
        <v>3</v>
      </c>
      <c r="O328" s="4">
        <v>-1</v>
      </c>
      <c r="P328" s="4"/>
      <c r="Q328" s="4"/>
      <c r="R328" s="4"/>
      <c r="S328" s="4"/>
      <c r="T328" s="4"/>
      <c r="U328" s="4"/>
      <c r="V328" s="4"/>
      <c r="W328" s="4"/>
    </row>
    <row r="329" spans="1:23" ht="12.75">
      <c r="A329" s="4">
        <v>50</v>
      </c>
      <c r="B329" s="4">
        <v>0</v>
      </c>
      <c r="C329" s="4">
        <v>0</v>
      </c>
      <c r="D329" s="4">
        <v>1</v>
      </c>
      <c r="E329" s="4">
        <v>208</v>
      </c>
      <c r="F329" s="4">
        <f>Source!V306</f>
        <v>4.906000000000001</v>
      </c>
      <c r="G329" s="4" t="s">
        <v>92</v>
      </c>
      <c r="H329" s="4" t="s">
        <v>93</v>
      </c>
      <c r="I329" s="4"/>
      <c r="J329" s="4"/>
      <c r="K329" s="4">
        <v>208</v>
      </c>
      <c r="L329" s="4">
        <v>22</v>
      </c>
      <c r="M329" s="4">
        <v>3</v>
      </c>
      <c r="N329" s="4" t="s">
        <v>3</v>
      </c>
      <c r="O329" s="4">
        <v>-1</v>
      </c>
      <c r="P329" s="4"/>
      <c r="Q329" s="4"/>
      <c r="R329" s="4"/>
      <c r="S329" s="4"/>
      <c r="T329" s="4"/>
      <c r="U329" s="4"/>
      <c r="V329" s="4"/>
      <c r="W329" s="4"/>
    </row>
    <row r="330" spans="1:23" ht="12.75">
      <c r="A330" s="4">
        <v>50</v>
      </c>
      <c r="B330" s="4">
        <v>0</v>
      </c>
      <c r="C330" s="4">
        <v>0</v>
      </c>
      <c r="D330" s="4">
        <v>1</v>
      </c>
      <c r="E330" s="4">
        <v>209</v>
      </c>
      <c r="F330" s="4">
        <f>ROUND(Source!W306,O330)</f>
        <v>0</v>
      </c>
      <c r="G330" s="4" t="s">
        <v>94</v>
      </c>
      <c r="H330" s="4" t="s">
        <v>95</v>
      </c>
      <c r="I330" s="4"/>
      <c r="J330" s="4"/>
      <c r="K330" s="4">
        <v>209</v>
      </c>
      <c r="L330" s="4">
        <v>23</v>
      </c>
      <c r="M330" s="4">
        <v>3</v>
      </c>
      <c r="N330" s="4" t="s">
        <v>3</v>
      </c>
      <c r="O330" s="4">
        <v>1</v>
      </c>
      <c r="P330" s="4"/>
      <c r="Q330" s="4"/>
      <c r="R330" s="4"/>
      <c r="S330" s="4"/>
      <c r="T330" s="4"/>
      <c r="U330" s="4"/>
      <c r="V330" s="4"/>
      <c r="W330" s="4"/>
    </row>
    <row r="331" spans="1:23" ht="12.75">
      <c r="A331" s="4">
        <v>50</v>
      </c>
      <c r="B331" s="4">
        <v>0</v>
      </c>
      <c r="C331" s="4">
        <v>0</v>
      </c>
      <c r="D331" s="4">
        <v>1</v>
      </c>
      <c r="E331" s="4">
        <v>210</v>
      </c>
      <c r="F331" s="4">
        <f>ROUND(Source!X306,O331)</f>
        <v>10804.6</v>
      </c>
      <c r="G331" s="4" t="s">
        <v>96</v>
      </c>
      <c r="H331" s="4" t="s">
        <v>97</v>
      </c>
      <c r="I331" s="4"/>
      <c r="J331" s="4"/>
      <c r="K331" s="4">
        <v>210</v>
      </c>
      <c r="L331" s="4">
        <v>24</v>
      </c>
      <c r="M331" s="4">
        <v>3</v>
      </c>
      <c r="N331" s="4" t="s">
        <v>3</v>
      </c>
      <c r="O331" s="4">
        <v>1</v>
      </c>
      <c r="P331" s="4"/>
      <c r="Q331" s="4"/>
      <c r="R331" s="4"/>
      <c r="S331" s="4"/>
      <c r="T331" s="4"/>
      <c r="U331" s="4"/>
      <c r="V331" s="4"/>
      <c r="W331" s="4"/>
    </row>
    <row r="332" spans="1:23" ht="12.75">
      <c r="A332" s="4">
        <v>50</v>
      </c>
      <c r="B332" s="4">
        <v>0</v>
      </c>
      <c r="C332" s="4">
        <v>0</v>
      </c>
      <c r="D332" s="4">
        <v>1</v>
      </c>
      <c r="E332" s="4">
        <v>211</v>
      </c>
      <c r="F332" s="4">
        <f>ROUND(Source!Y306,O332)</f>
        <v>7174.8</v>
      </c>
      <c r="G332" s="4" t="s">
        <v>98</v>
      </c>
      <c r="H332" s="4" t="s">
        <v>99</v>
      </c>
      <c r="I332" s="4"/>
      <c r="J332" s="4"/>
      <c r="K332" s="4">
        <v>211</v>
      </c>
      <c r="L332" s="4">
        <v>25</v>
      </c>
      <c r="M332" s="4">
        <v>3</v>
      </c>
      <c r="N332" s="4" t="s">
        <v>3</v>
      </c>
      <c r="O332" s="4">
        <v>1</v>
      </c>
      <c r="P332" s="4"/>
      <c r="Q332" s="4"/>
      <c r="R332" s="4"/>
      <c r="S332" s="4"/>
      <c r="T332" s="4"/>
      <c r="U332" s="4"/>
      <c r="V332" s="4"/>
      <c r="W332" s="4"/>
    </row>
    <row r="333" spans="1:23" ht="12.75">
      <c r="A333" s="4">
        <v>50</v>
      </c>
      <c r="B333" s="4">
        <v>0</v>
      </c>
      <c r="C333" s="4">
        <v>0</v>
      </c>
      <c r="D333" s="4">
        <v>1</v>
      </c>
      <c r="E333" s="4">
        <v>224</v>
      </c>
      <c r="F333" s="4">
        <f>ROUND(Source!AR306,O333)</f>
        <v>56824.5</v>
      </c>
      <c r="G333" s="4" t="s">
        <v>100</v>
      </c>
      <c r="H333" s="4" t="s">
        <v>101</v>
      </c>
      <c r="I333" s="4"/>
      <c r="J333" s="4"/>
      <c r="K333" s="4">
        <v>224</v>
      </c>
      <c r="L333" s="4">
        <v>26</v>
      </c>
      <c r="M333" s="4">
        <v>3</v>
      </c>
      <c r="N333" s="4" t="s">
        <v>3</v>
      </c>
      <c r="O333" s="4">
        <v>1</v>
      </c>
      <c r="P333" s="4"/>
      <c r="Q333" s="4"/>
      <c r="R333" s="4"/>
      <c r="S333" s="4"/>
      <c r="T333" s="4"/>
      <c r="U333" s="4"/>
      <c r="V333" s="4"/>
      <c r="W333" s="4"/>
    </row>
    <row r="335" spans="1:206" ht="12.75">
      <c r="A335" s="2">
        <v>51</v>
      </c>
      <c r="B335" s="2">
        <f>B20</f>
        <v>1</v>
      </c>
      <c r="C335" s="2">
        <f>A20</f>
        <v>3</v>
      </c>
      <c r="D335" s="2">
        <f>ROW(A20)</f>
        <v>20</v>
      </c>
      <c r="E335" s="2"/>
      <c r="F335" s="2" t="str">
        <f>IF(F20&lt;&gt;"",F20,"")</f>
        <v>Новая локальная смета</v>
      </c>
      <c r="G335" s="2" t="str">
        <f>IF(G20&lt;&gt;"",G20,"")</f>
        <v>Новая локальная смета</v>
      </c>
      <c r="H335" s="2">
        <v>0</v>
      </c>
      <c r="I335" s="2"/>
      <c r="J335" s="2"/>
      <c r="K335" s="2"/>
      <c r="L335" s="2"/>
      <c r="M335" s="2"/>
      <c r="N335" s="2"/>
      <c r="O335" s="2">
        <f aca="true" t="shared" si="266" ref="O335:T335">ROUND(O34+O77+O115+O188+O228+O266+O306+AB335,1)</f>
        <v>2886833.3</v>
      </c>
      <c r="P335" s="2">
        <f t="shared" si="266"/>
        <v>2662847.4</v>
      </c>
      <c r="Q335" s="2">
        <f t="shared" si="266"/>
        <v>60134.6</v>
      </c>
      <c r="R335" s="2">
        <f t="shared" si="266"/>
        <v>15306.7</v>
      </c>
      <c r="S335" s="2">
        <f t="shared" si="266"/>
        <v>163851.3</v>
      </c>
      <c r="T335" s="2">
        <f t="shared" si="266"/>
        <v>0</v>
      </c>
      <c r="U335" s="2">
        <f>U34+U77+U115+U188+U228+U266+U306+AH335</f>
        <v>803.6263416</v>
      </c>
      <c r="V335" s="2">
        <f>V34+V77+V115+V188+V228+V266+V306+AI335</f>
        <v>60.318768399999996</v>
      </c>
      <c r="W335" s="2">
        <f>ROUND(W34+W77+W115+W188+W228+W266+W306+AJ335,1)</f>
        <v>0</v>
      </c>
      <c r="X335" s="2">
        <f>ROUND(X34+X77+X115+X188+X228+X266+X306+AK335,1)</f>
        <v>138539.9</v>
      </c>
      <c r="Y335" s="2">
        <f>ROUND(Y34+Y77+Y115+Y188+Y228+Y266+Y306+AL335,1)</f>
        <v>81740.7</v>
      </c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>
        <f aca="true" t="shared" si="267" ref="AO335:BC335">ROUND(AO34+AO77+AO115+AO188+AO228+AO266+AO306+BX335,1)</f>
        <v>0</v>
      </c>
      <c r="AP335" s="2">
        <f t="shared" si="267"/>
        <v>2444501.7</v>
      </c>
      <c r="AQ335" s="2">
        <f t="shared" si="267"/>
        <v>0</v>
      </c>
      <c r="AR335" s="2">
        <f t="shared" si="267"/>
        <v>3107113.9</v>
      </c>
      <c r="AS335" s="2">
        <f t="shared" si="267"/>
        <v>450937.2</v>
      </c>
      <c r="AT335" s="2">
        <f t="shared" si="267"/>
        <v>77366.7</v>
      </c>
      <c r="AU335" s="2">
        <f t="shared" si="267"/>
        <v>134308.3</v>
      </c>
      <c r="AV335" s="2">
        <f t="shared" si="267"/>
        <v>2662847.4</v>
      </c>
      <c r="AW335" s="2">
        <f t="shared" si="267"/>
        <v>218345.7</v>
      </c>
      <c r="AX335" s="2">
        <f t="shared" si="267"/>
        <v>0</v>
      </c>
      <c r="AY335" s="2">
        <f t="shared" si="267"/>
        <v>218345.7</v>
      </c>
      <c r="AZ335" s="2">
        <f t="shared" si="267"/>
        <v>2444501.7</v>
      </c>
      <c r="BA335" s="2">
        <f t="shared" si="267"/>
        <v>0</v>
      </c>
      <c r="BB335" s="2">
        <f t="shared" si="267"/>
        <v>0</v>
      </c>
      <c r="BC335" s="2">
        <f t="shared" si="267"/>
        <v>0</v>
      </c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>
        <v>0</v>
      </c>
    </row>
    <row r="337" spans="1:23" ht="12.75">
      <c r="A337" s="4">
        <v>50</v>
      </c>
      <c r="B337" s="4">
        <v>1</v>
      </c>
      <c r="C337" s="4">
        <v>0</v>
      </c>
      <c r="D337" s="4">
        <v>1</v>
      </c>
      <c r="E337" s="4">
        <v>201</v>
      </c>
      <c r="F337" s="4">
        <f>ROUND(Source!O335,O337)</f>
        <v>2886833.3</v>
      </c>
      <c r="G337" s="4" t="s">
        <v>50</v>
      </c>
      <c r="H337" s="4" t="s">
        <v>51</v>
      </c>
      <c r="I337" s="4"/>
      <c r="J337" s="4"/>
      <c r="K337" s="4">
        <v>201</v>
      </c>
      <c r="L337" s="4">
        <v>1</v>
      </c>
      <c r="M337" s="4">
        <v>0</v>
      </c>
      <c r="N337" s="4" t="s">
        <v>3</v>
      </c>
      <c r="O337" s="4">
        <v>1</v>
      </c>
      <c r="P337" s="4"/>
      <c r="Q337" s="4"/>
      <c r="R337" s="4"/>
      <c r="S337" s="4"/>
      <c r="T337" s="4"/>
      <c r="U337" s="4"/>
      <c r="V337" s="4"/>
      <c r="W337" s="4"/>
    </row>
    <row r="338" spans="1:23" ht="12.75">
      <c r="A338" s="4">
        <v>50</v>
      </c>
      <c r="B338" s="4">
        <v>1</v>
      </c>
      <c r="C338" s="4">
        <v>0</v>
      </c>
      <c r="D338" s="4">
        <v>1</v>
      </c>
      <c r="E338" s="4">
        <v>202</v>
      </c>
      <c r="F338" s="4">
        <f>ROUND(Source!P335,O338)</f>
        <v>2662847.4</v>
      </c>
      <c r="G338" s="4" t="s">
        <v>52</v>
      </c>
      <c r="H338" s="4" t="s">
        <v>53</v>
      </c>
      <c r="I338" s="4"/>
      <c r="J338" s="4"/>
      <c r="K338" s="4">
        <v>202</v>
      </c>
      <c r="L338" s="4">
        <v>2</v>
      </c>
      <c r="M338" s="4">
        <v>0</v>
      </c>
      <c r="N338" s="4" t="s">
        <v>3</v>
      </c>
      <c r="O338" s="4">
        <v>1</v>
      </c>
      <c r="P338" s="4"/>
      <c r="Q338" s="4"/>
      <c r="R338" s="4"/>
      <c r="S338" s="4"/>
      <c r="T338" s="4"/>
      <c r="U338" s="4"/>
      <c r="V338" s="4"/>
      <c r="W338" s="4"/>
    </row>
    <row r="339" spans="1:23" ht="12.75">
      <c r="A339" s="4">
        <v>50</v>
      </c>
      <c r="B339" s="4">
        <v>0</v>
      </c>
      <c r="C339" s="4">
        <v>0</v>
      </c>
      <c r="D339" s="4">
        <v>1</v>
      </c>
      <c r="E339" s="4">
        <v>222</v>
      </c>
      <c r="F339" s="4">
        <f>ROUND(Source!AO335,O339)</f>
        <v>0</v>
      </c>
      <c r="G339" s="4" t="s">
        <v>54</v>
      </c>
      <c r="H339" s="4" t="s">
        <v>55</v>
      </c>
      <c r="I339" s="4"/>
      <c r="J339" s="4"/>
      <c r="K339" s="4">
        <v>222</v>
      </c>
      <c r="L339" s="4">
        <v>3</v>
      </c>
      <c r="M339" s="4">
        <v>3</v>
      </c>
      <c r="N339" s="4" t="s">
        <v>3</v>
      </c>
      <c r="O339" s="4">
        <v>1</v>
      </c>
      <c r="P339" s="4"/>
      <c r="Q339" s="4"/>
      <c r="R339" s="4"/>
      <c r="S339" s="4"/>
      <c r="T339" s="4"/>
      <c r="U339" s="4"/>
      <c r="V339" s="4"/>
      <c r="W339" s="4"/>
    </row>
    <row r="340" spans="1:23" ht="12.75">
      <c r="A340" s="4">
        <v>50</v>
      </c>
      <c r="B340" s="4">
        <v>1</v>
      </c>
      <c r="C340" s="4">
        <v>0</v>
      </c>
      <c r="D340" s="4">
        <v>1</v>
      </c>
      <c r="E340" s="4">
        <v>225</v>
      </c>
      <c r="F340" s="4">
        <f>ROUND(Source!AV335,O340)</f>
        <v>2662847.4</v>
      </c>
      <c r="G340" s="4" t="s">
        <v>56</v>
      </c>
      <c r="H340" s="4" t="s">
        <v>57</v>
      </c>
      <c r="I340" s="4"/>
      <c r="J340" s="4"/>
      <c r="K340" s="4">
        <v>225</v>
      </c>
      <c r="L340" s="4">
        <v>4</v>
      </c>
      <c r="M340" s="4">
        <v>0</v>
      </c>
      <c r="N340" s="4" t="s">
        <v>3</v>
      </c>
      <c r="O340" s="4">
        <v>1</v>
      </c>
      <c r="P340" s="4"/>
      <c r="Q340" s="4"/>
      <c r="R340" s="4"/>
      <c r="S340" s="4"/>
      <c r="T340" s="4"/>
      <c r="U340" s="4"/>
      <c r="V340" s="4"/>
      <c r="W340" s="4"/>
    </row>
    <row r="341" spans="1:23" ht="12.75">
      <c r="A341" s="4">
        <v>50</v>
      </c>
      <c r="B341" s="4">
        <v>1</v>
      </c>
      <c r="C341" s="4">
        <v>0</v>
      </c>
      <c r="D341" s="4">
        <v>1</v>
      </c>
      <c r="E341" s="4">
        <v>226</v>
      </c>
      <c r="F341" s="4">
        <f>ROUND(Source!AW335,O341)</f>
        <v>218345.7</v>
      </c>
      <c r="G341" s="4" t="s">
        <v>58</v>
      </c>
      <c r="H341" s="4" t="s">
        <v>59</v>
      </c>
      <c r="I341" s="4"/>
      <c r="J341" s="4"/>
      <c r="K341" s="4">
        <v>226</v>
      </c>
      <c r="L341" s="4">
        <v>5</v>
      </c>
      <c r="M341" s="4">
        <v>0</v>
      </c>
      <c r="N341" s="4" t="s">
        <v>3</v>
      </c>
      <c r="O341" s="4">
        <v>1</v>
      </c>
      <c r="P341" s="4"/>
      <c r="Q341" s="4"/>
      <c r="R341" s="4"/>
      <c r="S341" s="4"/>
      <c r="T341" s="4"/>
      <c r="U341" s="4"/>
      <c r="V341" s="4"/>
      <c r="W341" s="4"/>
    </row>
    <row r="342" spans="1:23" ht="12.75">
      <c r="A342" s="4">
        <v>50</v>
      </c>
      <c r="B342" s="4">
        <v>0</v>
      </c>
      <c r="C342" s="4">
        <v>0</v>
      </c>
      <c r="D342" s="4">
        <v>1</v>
      </c>
      <c r="E342" s="4">
        <v>227</v>
      </c>
      <c r="F342" s="4">
        <f>ROUND(Source!AX335,O342)</f>
        <v>0</v>
      </c>
      <c r="G342" s="4" t="s">
        <v>60</v>
      </c>
      <c r="H342" s="4" t="s">
        <v>61</v>
      </c>
      <c r="I342" s="4"/>
      <c r="J342" s="4"/>
      <c r="K342" s="4">
        <v>227</v>
      </c>
      <c r="L342" s="4">
        <v>6</v>
      </c>
      <c r="M342" s="4">
        <v>3</v>
      </c>
      <c r="N342" s="4" t="s">
        <v>3</v>
      </c>
      <c r="O342" s="4">
        <v>1</v>
      </c>
      <c r="P342" s="4"/>
      <c r="Q342" s="4"/>
      <c r="R342" s="4"/>
      <c r="S342" s="4"/>
      <c r="T342" s="4"/>
      <c r="U342" s="4"/>
      <c r="V342" s="4"/>
      <c r="W342" s="4"/>
    </row>
    <row r="343" spans="1:23" ht="12.75">
      <c r="A343" s="4">
        <v>50</v>
      </c>
      <c r="B343" s="4">
        <v>1</v>
      </c>
      <c r="C343" s="4">
        <v>0</v>
      </c>
      <c r="D343" s="4">
        <v>1</v>
      </c>
      <c r="E343" s="4">
        <v>228</v>
      </c>
      <c r="F343" s="4">
        <f>ROUND(Source!AY335,O343)</f>
        <v>218345.7</v>
      </c>
      <c r="G343" s="4" t="s">
        <v>62</v>
      </c>
      <c r="H343" s="4" t="s">
        <v>63</v>
      </c>
      <c r="I343" s="4"/>
      <c r="J343" s="4"/>
      <c r="K343" s="4">
        <v>228</v>
      </c>
      <c r="L343" s="4">
        <v>7</v>
      </c>
      <c r="M343" s="4">
        <v>0</v>
      </c>
      <c r="N343" s="4" t="s">
        <v>3</v>
      </c>
      <c r="O343" s="4">
        <v>1</v>
      </c>
      <c r="P343" s="4"/>
      <c r="Q343" s="4"/>
      <c r="R343" s="4"/>
      <c r="S343" s="4"/>
      <c r="T343" s="4"/>
      <c r="U343" s="4"/>
      <c r="V343" s="4"/>
      <c r="W343" s="4"/>
    </row>
    <row r="344" spans="1:23" ht="12.75">
      <c r="A344" s="4">
        <v>50</v>
      </c>
      <c r="B344" s="4">
        <v>1</v>
      </c>
      <c r="C344" s="4">
        <v>0</v>
      </c>
      <c r="D344" s="4">
        <v>1</v>
      </c>
      <c r="E344" s="4">
        <v>216</v>
      </c>
      <c r="F344" s="4">
        <f>ROUND(Source!AP335,O344)</f>
        <v>2444501.7</v>
      </c>
      <c r="G344" s="4" t="s">
        <v>64</v>
      </c>
      <c r="H344" s="4" t="s">
        <v>65</v>
      </c>
      <c r="I344" s="4"/>
      <c r="J344" s="4"/>
      <c r="K344" s="4">
        <v>216</v>
      </c>
      <c r="L344" s="4">
        <v>8</v>
      </c>
      <c r="M344" s="4">
        <v>0</v>
      </c>
      <c r="N344" s="4" t="s">
        <v>3</v>
      </c>
      <c r="O344" s="4">
        <v>1</v>
      </c>
      <c r="P344" s="4"/>
      <c r="Q344" s="4"/>
      <c r="R344" s="4"/>
      <c r="S344" s="4"/>
      <c r="T344" s="4"/>
      <c r="U344" s="4"/>
      <c r="V344" s="4"/>
      <c r="W344" s="4"/>
    </row>
    <row r="345" spans="1:23" ht="12.75">
      <c r="A345" s="4">
        <v>50</v>
      </c>
      <c r="B345" s="4">
        <v>0</v>
      </c>
      <c r="C345" s="4">
        <v>0</v>
      </c>
      <c r="D345" s="4">
        <v>1</v>
      </c>
      <c r="E345" s="4">
        <v>223</v>
      </c>
      <c r="F345" s="4">
        <f>ROUND(Source!AQ335,O345)</f>
        <v>0</v>
      </c>
      <c r="G345" s="4" t="s">
        <v>66</v>
      </c>
      <c r="H345" s="4" t="s">
        <v>67</v>
      </c>
      <c r="I345" s="4"/>
      <c r="J345" s="4"/>
      <c r="K345" s="4">
        <v>223</v>
      </c>
      <c r="L345" s="4">
        <v>9</v>
      </c>
      <c r="M345" s="4">
        <v>3</v>
      </c>
      <c r="N345" s="4" t="s">
        <v>3</v>
      </c>
      <c r="O345" s="4">
        <v>1</v>
      </c>
      <c r="P345" s="4"/>
      <c r="Q345" s="4"/>
      <c r="R345" s="4"/>
      <c r="S345" s="4"/>
      <c r="T345" s="4"/>
      <c r="U345" s="4"/>
      <c r="V345" s="4"/>
      <c r="W345" s="4"/>
    </row>
    <row r="346" spans="1:23" ht="12.75">
      <c r="A346" s="4">
        <v>50</v>
      </c>
      <c r="B346" s="4">
        <v>1</v>
      </c>
      <c r="C346" s="4">
        <v>0</v>
      </c>
      <c r="D346" s="4">
        <v>1</v>
      </c>
      <c r="E346" s="4">
        <v>229</v>
      </c>
      <c r="F346" s="4">
        <f>ROUND(Source!AZ335,O346)</f>
        <v>2444501.7</v>
      </c>
      <c r="G346" s="4" t="s">
        <v>68</v>
      </c>
      <c r="H346" s="4" t="s">
        <v>69</v>
      </c>
      <c r="I346" s="4"/>
      <c r="J346" s="4"/>
      <c r="K346" s="4">
        <v>229</v>
      </c>
      <c r="L346" s="4">
        <v>10</v>
      </c>
      <c r="M346" s="4">
        <v>0</v>
      </c>
      <c r="N346" s="4" t="s">
        <v>3</v>
      </c>
      <c r="O346" s="4">
        <v>1</v>
      </c>
      <c r="P346" s="4"/>
      <c r="Q346" s="4"/>
      <c r="R346" s="4"/>
      <c r="S346" s="4"/>
      <c r="T346" s="4"/>
      <c r="U346" s="4"/>
      <c r="V346" s="4"/>
      <c r="W346" s="4"/>
    </row>
    <row r="347" spans="1:23" ht="12.75">
      <c r="A347" s="4">
        <v>50</v>
      </c>
      <c r="B347" s="4">
        <v>1</v>
      </c>
      <c r="C347" s="4">
        <v>0</v>
      </c>
      <c r="D347" s="4">
        <v>1</v>
      </c>
      <c r="E347" s="4">
        <v>203</v>
      </c>
      <c r="F347" s="4">
        <f>ROUND(Source!Q335,O347)</f>
        <v>60134.6</v>
      </c>
      <c r="G347" s="4" t="s">
        <v>70</v>
      </c>
      <c r="H347" s="4" t="s">
        <v>71</v>
      </c>
      <c r="I347" s="4"/>
      <c r="J347" s="4"/>
      <c r="K347" s="4">
        <v>203</v>
      </c>
      <c r="L347" s="4">
        <v>11</v>
      </c>
      <c r="M347" s="4">
        <v>0</v>
      </c>
      <c r="N347" s="4" t="s">
        <v>3</v>
      </c>
      <c r="O347" s="4">
        <v>1</v>
      </c>
      <c r="P347" s="4"/>
      <c r="Q347" s="4"/>
      <c r="R347" s="4"/>
      <c r="S347" s="4"/>
      <c r="T347" s="4"/>
      <c r="U347" s="4"/>
      <c r="V347" s="4"/>
      <c r="W347" s="4"/>
    </row>
    <row r="348" spans="1:23" ht="12.75">
      <c r="A348" s="4">
        <v>50</v>
      </c>
      <c r="B348" s="4">
        <v>0</v>
      </c>
      <c r="C348" s="4">
        <v>0</v>
      </c>
      <c r="D348" s="4">
        <v>1</v>
      </c>
      <c r="E348" s="4">
        <v>231</v>
      </c>
      <c r="F348" s="4">
        <f>ROUND(Source!BB335,O348)</f>
        <v>0</v>
      </c>
      <c r="G348" s="4" t="s">
        <v>72</v>
      </c>
      <c r="H348" s="4" t="s">
        <v>73</v>
      </c>
      <c r="I348" s="4"/>
      <c r="J348" s="4"/>
      <c r="K348" s="4">
        <v>231</v>
      </c>
      <c r="L348" s="4">
        <v>12</v>
      </c>
      <c r="M348" s="4">
        <v>3</v>
      </c>
      <c r="N348" s="4" t="s">
        <v>3</v>
      </c>
      <c r="O348" s="4">
        <v>1</v>
      </c>
      <c r="P348" s="4"/>
      <c r="Q348" s="4"/>
      <c r="R348" s="4"/>
      <c r="S348" s="4"/>
      <c r="T348" s="4"/>
      <c r="U348" s="4"/>
      <c r="V348" s="4"/>
      <c r="W348" s="4"/>
    </row>
    <row r="349" spans="1:23" ht="12.75">
      <c r="A349" s="4">
        <v>50</v>
      </c>
      <c r="B349" s="4">
        <v>1</v>
      </c>
      <c r="C349" s="4">
        <v>0</v>
      </c>
      <c r="D349" s="4">
        <v>1</v>
      </c>
      <c r="E349" s="4">
        <v>204</v>
      </c>
      <c r="F349" s="4">
        <f>ROUND(Source!R335,O349)</f>
        <v>15306.7</v>
      </c>
      <c r="G349" s="4" t="s">
        <v>74</v>
      </c>
      <c r="H349" s="4" t="s">
        <v>75</v>
      </c>
      <c r="I349" s="4"/>
      <c r="J349" s="4"/>
      <c r="K349" s="4">
        <v>204</v>
      </c>
      <c r="L349" s="4">
        <v>13</v>
      </c>
      <c r="M349" s="4">
        <v>0</v>
      </c>
      <c r="N349" s="4" t="s">
        <v>3</v>
      </c>
      <c r="O349" s="4">
        <v>1</v>
      </c>
      <c r="P349" s="4"/>
      <c r="Q349" s="4"/>
      <c r="R349" s="4"/>
      <c r="S349" s="4"/>
      <c r="T349" s="4"/>
      <c r="U349" s="4"/>
      <c r="V349" s="4"/>
      <c r="W349" s="4"/>
    </row>
    <row r="350" spans="1:23" ht="12.75">
      <c r="A350" s="4">
        <v>50</v>
      </c>
      <c r="B350" s="4">
        <v>1</v>
      </c>
      <c r="C350" s="4">
        <v>0</v>
      </c>
      <c r="D350" s="4">
        <v>1</v>
      </c>
      <c r="E350" s="4">
        <v>205</v>
      </c>
      <c r="F350" s="4">
        <f>ROUND(Source!S335,O350)</f>
        <v>163851.3</v>
      </c>
      <c r="G350" s="4" t="s">
        <v>76</v>
      </c>
      <c r="H350" s="4" t="s">
        <v>77</v>
      </c>
      <c r="I350" s="4"/>
      <c r="J350" s="4"/>
      <c r="K350" s="4">
        <v>205</v>
      </c>
      <c r="L350" s="4">
        <v>14</v>
      </c>
      <c r="M350" s="4">
        <v>0</v>
      </c>
      <c r="N350" s="4" t="s">
        <v>3</v>
      </c>
      <c r="O350" s="4">
        <v>1</v>
      </c>
      <c r="P350" s="4"/>
      <c r="Q350" s="4"/>
      <c r="R350" s="4"/>
      <c r="S350" s="4"/>
      <c r="T350" s="4"/>
      <c r="U350" s="4"/>
      <c r="V350" s="4"/>
      <c r="W350" s="4"/>
    </row>
    <row r="351" spans="1:23" ht="12.75">
      <c r="A351" s="4">
        <v>50</v>
      </c>
      <c r="B351" s="4">
        <v>0</v>
      </c>
      <c r="C351" s="4">
        <v>0</v>
      </c>
      <c r="D351" s="4">
        <v>1</v>
      </c>
      <c r="E351" s="4">
        <v>232</v>
      </c>
      <c r="F351" s="4">
        <f>ROUND(Source!BC335,O351)</f>
        <v>0</v>
      </c>
      <c r="G351" s="4" t="s">
        <v>78</v>
      </c>
      <c r="H351" s="4" t="s">
        <v>79</v>
      </c>
      <c r="I351" s="4"/>
      <c r="J351" s="4"/>
      <c r="K351" s="4">
        <v>232</v>
      </c>
      <c r="L351" s="4">
        <v>15</v>
      </c>
      <c r="M351" s="4">
        <v>3</v>
      </c>
      <c r="N351" s="4" t="s">
        <v>3</v>
      </c>
      <c r="O351" s="4">
        <v>1</v>
      </c>
      <c r="P351" s="4"/>
      <c r="Q351" s="4"/>
      <c r="R351" s="4"/>
      <c r="S351" s="4"/>
      <c r="T351" s="4"/>
      <c r="U351" s="4"/>
      <c r="V351" s="4"/>
      <c r="W351" s="4"/>
    </row>
    <row r="352" spans="1:23" ht="12.75">
      <c r="A352" s="4">
        <v>50</v>
      </c>
      <c r="B352" s="4">
        <v>1</v>
      </c>
      <c r="C352" s="4">
        <v>0</v>
      </c>
      <c r="D352" s="4">
        <v>1</v>
      </c>
      <c r="E352" s="4">
        <v>214</v>
      </c>
      <c r="F352" s="4">
        <f>ROUND(Source!AS335,O352)</f>
        <v>450937.2</v>
      </c>
      <c r="G352" s="4" t="s">
        <v>80</v>
      </c>
      <c r="H352" s="4" t="s">
        <v>81</v>
      </c>
      <c r="I352" s="4"/>
      <c r="J352" s="4"/>
      <c r="K352" s="4">
        <v>214</v>
      </c>
      <c r="L352" s="4">
        <v>16</v>
      </c>
      <c r="M352" s="4">
        <v>0</v>
      </c>
      <c r="N352" s="4" t="s">
        <v>3</v>
      </c>
      <c r="O352" s="4">
        <v>1</v>
      </c>
      <c r="P352" s="4"/>
      <c r="Q352" s="4"/>
      <c r="R352" s="4"/>
      <c r="S352" s="4"/>
      <c r="T352" s="4"/>
      <c r="U352" s="4"/>
      <c r="V352" s="4"/>
      <c r="W352" s="4"/>
    </row>
    <row r="353" spans="1:23" ht="12.75">
      <c r="A353" s="4">
        <v>50</v>
      </c>
      <c r="B353" s="4">
        <v>1</v>
      </c>
      <c r="C353" s="4">
        <v>0</v>
      </c>
      <c r="D353" s="4">
        <v>1</v>
      </c>
      <c r="E353" s="4">
        <v>215</v>
      </c>
      <c r="F353" s="4">
        <f>ROUND(Source!AT335,O353)</f>
        <v>77366.7</v>
      </c>
      <c r="G353" s="4" t="s">
        <v>82</v>
      </c>
      <c r="H353" s="4" t="s">
        <v>83</v>
      </c>
      <c r="I353" s="4"/>
      <c r="J353" s="4"/>
      <c r="K353" s="4">
        <v>215</v>
      </c>
      <c r="L353" s="4">
        <v>17</v>
      </c>
      <c r="M353" s="4">
        <v>0</v>
      </c>
      <c r="N353" s="4" t="s">
        <v>3</v>
      </c>
      <c r="O353" s="4">
        <v>1</v>
      </c>
      <c r="P353" s="4"/>
      <c r="Q353" s="4"/>
      <c r="R353" s="4"/>
      <c r="S353" s="4"/>
      <c r="T353" s="4"/>
      <c r="U353" s="4"/>
      <c r="V353" s="4"/>
      <c r="W353" s="4"/>
    </row>
    <row r="354" spans="1:23" ht="12.75">
      <c r="A354" s="4">
        <v>50</v>
      </c>
      <c r="B354" s="4">
        <v>1</v>
      </c>
      <c r="C354" s="4">
        <v>0</v>
      </c>
      <c r="D354" s="4">
        <v>1</v>
      </c>
      <c r="E354" s="4">
        <v>217</v>
      </c>
      <c r="F354" s="4">
        <f>ROUND(Source!AU335,O354)</f>
        <v>134308.3</v>
      </c>
      <c r="G354" s="4" t="s">
        <v>84</v>
      </c>
      <c r="H354" s="4" t="s">
        <v>85</v>
      </c>
      <c r="I354" s="4"/>
      <c r="J354" s="4"/>
      <c r="K354" s="4">
        <v>217</v>
      </c>
      <c r="L354" s="4">
        <v>18</v>
      </c>
      <c r="M354" s="4">
        <v>0</v>
      </c>
      <c r="N354" s="4" t="s">
        <v>3</v>
      </c>
      <c r="O354" s="4">
        <v>1</v>
      </c>
      <c r="P354" s="4"/>
      <c r="Q354" s="4"/>
      <c r="R354" s="4"/>
      <c r="S354" s="4"/>
      <c r="T354" s="4"/>
      <c r="U354" s="4"/>
      <c r="V354" s="4"/>
      <c r="W354" s="4"/>
    </row>
    <row r="355" spans="1:23" ht="12.75">
      <c r="A355" s="4">
        <v>50</v>
      </c>
      <c r="B355" s="4">
        <v>0</v>
      </c>
      <c r="C355" s="4">
        <v>0</v>
      </c>
      <c r="D355" s="4">
        <v>1</v>
      </c>
      <c r="E355" s="4">
        <v>230</v>
      </c>
      <c r="F355" s="4">
        <f>ROUND(Source!BA335,O355)</f>
        <v>0</v>
      </c>
      <c r="G355" s="4" t="s">
        <v>86</v>
      </c>
      <c r="H355" s="4" t="s">
        <v>87</v>
      </c>
      <c r="I355" s="4"/>
      <c r="J355" s="4"/>
      <c r="K355" s="4">
        <v>230</v>
      </c>
      <c r="L355" s="4">
        <v>19</v>
      </c>
      <c r="M355" s="4">
        <v>3</v>
      </c>
      <c r="N355" s="4" t="s">
        <v>3</v>
      </c>
      <c r="O355" s="4">
        <v>1</v>
      </c>
      <c r="P355" s="4"/>
      <c r="Q355" s="4"/>
      <c r="R355" s="4"/>
      <c r="S355" s="4"/>
      <c r="T355" s="4"/>
      <c r="U355" s="4"/>
      <c r="V355" s="4"/>
      <c r="W355" s="4"/>
    </row>
    <row r="356" spans="1:23" ht="12.75">
      <c r="A356" s="4">
        <v>50</v>
      </c>
      <c r="B356" s="4">
        <v>0</v>
      </c>
      <c r="C356" s="4">
        <v>0</v>
      </c>
      <c r="D356" s="4">
        <v>1</v>
      </c>
      <c r="E356" s="4">
        <v>206</v>
      </c>
      <c r="F356" s="4">
        <f>ROUND(Source!T335,O356)</f>
        <v>0</v>
      </c>
      <c r="G356" s="4" t="s">
        <v>88</v>
      </c>
      <c r="H356" s="4" t="s">
        <v>89</v>
      </c>
      <c r="I356" s="4"/>
      <c r="J356" s="4"/>
      <c r="K356" s="4">
        <v>206</v>
      </c>
      <c r="L356" s="4">
        <v>20</v>
      </c>
      <c r="M356" s="4">
        <v>3</v>
      </c>
      <c r="N356" s="4" t="s">
        <v>3</v>
      </c>
      <c r="O356" s="4">
        <v>1</v>
      </c>
      <c r="P356" s="4"/>
      <c r="Q356" s="4"/>
      <c r="R356" s="4"/>
      <c r="S356" s="4"/>
      <c r="T356" s="4"/>
      <c r="U356" s="4"/>
      <c r="V356" s="4"/>
      <c r="W356" s="4"/>
    </row>
    <row r="357" spans="1:23" ht="12.75">
      <c r="A357" s="4">
        <v>50</v>
      </c>
      <c r="B357" s="4">
        <v>1</v>
      </c>
      <c r="C357" s="4">
        <v>0</v>
      </c>
      <c r="D357" s="4">
        <v>1</v>
      </c>
      <c r="E357" s="4">
        <v>207</v>
      </c>
      <c r="F357" s="4">
        <f>Source!U335</f>
        <v>803.6263416</v>
      </c>
      <c r="G357" s="4" t="s">
        <v>90</v>
      </c>
      <c r="H357" s="4" t="s">
        <v>91</v>
      </c>
      <c r="I357" s="4"/>
      <c r="J357" s="4"/>
      <c r="K357" s="4">
        <v>207</v>
      </c>
      <c r="L357" s="4">
        <v>21</v>
      </c>
      <c r="M357" s="4">
        <v>0</v>
      </c>
      <c r="N357" s="4" t="s">
        <v>3</v>
      </c>
      <c r="O357" s="4">
        <v>-1</v>
      </c>
      <c r="P357" s="4"/>
      <c r="Q357" s="4"/>
      <c r="R357" s="4"/>
      <c r="S357" s="4"/>
      <c r="T357" s="4"/>
      <c r="U357" s="4"/>
      <c r="V357" s="4"/>
      <c r="W357" s="4"/>
    </row>
    <row r="358" spans="1:23" ht="12.75">
      <c r="A358" s="4">
        <v>50</v>
      </c>
      <c r="B358" s="4">
        <v>0</v>
      </c>
      <c r="C358" s="4">
        <v>0</v>
      </c>
      <c r="D358" s="4">
        <v>1</v>
      </c>
      <c r="E358" s="4">
        <v>208</v>
      </c>
      <c r="F358" s="4">
        <f>Source!V335</f>
        <v>60.318768399999996</v>
      </c>
      <c r="G358" s="4" t="s">
        <v>92</v>
      </c>
      <c r="H358" s="4" t="s">
        <v>93</v>
      </c>
      <c r="I358" s="4"/>
      <c r="J358" s="4"/>
      <c r="K358" s="4">
        <v>208</v>
      </c>
      <c r="L358" s="4">
        <v>22</v>
      </c>
      <c r="M358" s="4">
        <v>3</v>
      </c>
      <c r="N358" s="4" t="s">
        <v>3</v>
      </c>
      <c r="O358" s="4">
        <v>-1</v>
      </c>
      <c r="P358" s="4"/>
      <c r="Q358" s="4"/>
      <c r="R358" s="4"/>
      <c r="S358" s="4"/>
      <c r="T358" s="4"/>
      <c r="U358" s="4"/>
      <c r="V358" s="4"/>
      <c r="W358" s="4"/>
    </row>
    <row r="359" spans="1:23" ht="12.75">
      <c r="A359" s="4">
        <v>50</v>
      </c>
      <c r="B359" s="4">
        <v>0</v>
      </c>
      <c r="C359" s="4">
        <v>0</v>
      </c>
      <c r="D359" s="4">
        <v>1</v>
      </c>
      <c r="E359" s="4">
        <v>209</v>
      </c>
      <c r="F359" s="4">
        <f>ROUND(Source!W335,O359)</f>
        <v>0</v>
      </c>
      <c r="G359" s="4" t="s">
        <v>94</v>
      </c>
      <c r="H359" s="4" t="s">
        <v>95</v>
      </c>
      <c r="I359" s="4"/>
      <c r="J359" s="4"/>
      <c r="K359" s="4">
        <v>209</v>
      </c>
      <c r="L359" s="4">
        <v>23</v>
      </c>
      <c r="M359" s="4">
        <v>3</v>
      </c>
      <c r="N359" s="4" t="s">
        <v>3</v>
      </c>
      <c r="O359" s="4">
        <v>1</v>
      </c>
      <c r="P359" s="4"/>
      <c r="Q359" s="4"/>
      <c r="R359" s="4"/>
      <c r="S359" s="4"/>
      <c r="T359" s="4"/>
      <c r="U359" s="4"/>
      <c r="V359" s="4"/>
      <c r="W359" s="4"/>
    </row>
    <row r="360" spans="1:23" ht="12.75">
      <c r="A360" s="4">
        <v>50</v>
      </c>
      <c r="B360" s="4">
        <v>1</v>
      </c>
      <c r="C360" s="4">
        <v>0</v>
      </c>
      <c r="D360" s="4">
        <v>1</v>
      </c>
      <c r="E360" s="4">
        <v>210</v>
      </c>
      <c r="F360" s="4">
        <f>ROUND(Source!X335,O360)</f>
        <v>138539.9</v>
      </c>
      <c r="G360" s="4" t="s">
        <v>96</v>
      </c>
      <c r="H360" s="4" t="s">
        <v>97</v>
      </c>
      <c r="I360" s="4"/>
      <c r="J360" s="4"/>
      <c r="K360" s="4">
        <v>210</v>
      </c>
      <c r="L360" s="4">
        <v>24</v>
      </c>
      <c r="M360" s="4">
        <v>0</v>
      </c>
      <c r="N360" s="4" t="s">
        <v>3</v>
      </c>
      <c r="O360" s="4">
        <v>1</v>
      </c>
      <c r="P360" s="4"/>
      <c r="Q360" s="4"/>
      <c r="R360" s="4"/>
      <c r="S360" s="4"/>
      <c r="T360" s="4"/>
      <c r="U360" s="4"/>
      <c r="V360" s="4"/>
      <c r="W360" s="4"/>
    </row>
    <row r="361" spans="1:23" ht="12.75">
      <c r="A361" s="4">
        <v>50</v>
      </c>
      <c r="B361" s="4">
        <v>1</v>
      </c>
      <c r="C361" s="4">
        <v>0</v>
      </c>
      <c r="D361" s="4">
        <v>1</v>
      </c>
      <c r="E361" s="4">
        <v>211</v>
      </c>
      <c r="F361" s="4">
        <f>ROUND(Source!Y335,O361)</f>
        <v>81740.7</v>
      </c>
      <c r="G361" s="4" t="s">
        <v>98</v>
      </c>
      <c r="H361" s="4" t="s">
        <v>99</v>
      </c>
      <c r="I361" s="4"/>
      <c r="J361" s="4"/>
      <c r="K361" s="4">
        <v>211</v>
      </c>
      <c r="L361" s="4">
        <v>25</v>
      </c>
      <c r="M361" s="4">
        <v>0</v>
      </c>
      <c r="N361" s="4" t="s">
        <v>3</v>
      </c>
      <c r="O361" s="4">
        <v>1</v>
      </c>
      <c r="P361" s="4"/>
      <c r="Q361" s="4"/>
      <c r="R361" s="4"/>
      <c r="S361" s="4"/>
      <c r="T361" s="4"/>
      <c r="U361" s="4"/>
      <c r="V361" s="4"/>
      <c r="W361" s="4"/>
    </row>
    <row r="362" spans="1:23" ht="12.75">
      <c r="A362" s="4">
        <v>50</v>
      </c>
      <c r="B362" s="4">
        <v>1</v>
      </c>
      <c r="C362" s="4">
        <v>0</v>
      </c>
      <c r="D362" s="4">
        <v>1</v>
      </c>
      <c r="E362" s="4">
        <v>224</v>
      </c>
      <c r="F362" s="4">
        <f>ROUND(Source!AR335,O362)</f>
        <v>3107113.9</v>
      </c>
      <c r="G362" s="4" t="s">
        <v>100</v>
      </c>
      <c r="H362" s="4" t="s">
        <v>101</v>
      </c>
      <c r="I362" s="4"/>
      <c r="J362" s="4"/>
      <c r="K362" s="4">
        <v>224</v>
      </c>
      <c r="L362" s="4">
        <v>26</v>
      </c>
      <c r="M362" s="4">
        <v>0</v>
      </c>
      <c r="N362" s="4" t="s">
        <v>3</v>
      </c>
      <c r="O362" s="4">
        <v>1</v>
      </c>
      <c r="P362" s="4"/>
      <c r="Q362" s="4"/>
      <c r="R362" s="4"/>
      <c r="S362" s="4"/>
      <c r="T362" s="4"/>
      <c r="U362" s="4"/>
      <c r="V362" s="4"/>
      <c r="W362" s="4"/>
    </row>
    <row r="364" spans="1:206" ht="12.75">
      <c r="A364" s="2">
        <v>51</v>
      </c>
      <c r="B364" s="2">
        <f>B12</f>
        <v>424</v>
      </c>
      <c r="C364" s="2">
        <f>A12</f>
        <v>1</v>
      </c>
      <c r="D364" s="2">
        <f>ROW(A12)</f>
        <v>12</v>
      </c>
      <c r="E364" s="2"/>
      <c r="F364" s="2" t="str">
        <f>IF(F12&lt;&gt;"",F12,"")</f>
        <v>13</v>
      </c>
      <c r="G364" s="2" t="str">
        <f>IF(G12&lt;&gt;"",G12,"")</f>
        <v>Электроснабжение ООО "Клиника №1"  на земельном участке с кадастровым номером 40:27: 030101:47. Трансформаторная подстанция. Калужская обл. г. Обнинск, пр. Ленина, д.74В</v>
      </c>
      <c r="H364" s="2">
        <v>0</v>
      </c>
      <c r="I364" s="2"/>
      <c r="J364" s="2"/>
      <c r="K364" s="2"/>
      <c r="L364" s="2"/>
      <c r="M364" s="2"/>
      <c r="N364" s="2"/>
      <c r="O364" s="2">
        <f aca="true" t="shared" si="268" ref="O364:T364">ROUND(O335,1)</f>
        <v>2886833.3</v>
      </c>
      <c r="P364" s="2">
        <f t="shared" si="268"/>
        <v>2662847.4</v>
      </c>
      <c r="Q364" s="2">
        <f t="shared" si="268"/>
        <v>60134.6</v>
      </c>
      <c r="R364" s="2">
        <f t="shared" si="268"/>
        <v>15306.7</v>
      </c>
      <c r="S364" s="2">
        <f t="shared" si="268"/>
        <v>163851.3</v>
      </c>
      <c r="T364" s="2">
        <f t="shared" si="268"/>
        <v>0</v>
      </c>
      <c r="U364" s="2">
        <f>U335</f>
        <v>803.6263416</v>
      </c>
      <c r="V364" s="2">
        <f>V335</f>
        <v>60.318768399999996</v>
      </c>
      <c r="W364" s="2">
        <f>ROUND(W335,1)</f>
        <v>0</v>
      </c>
      <c r="X364" s="2">
        <f>ROUND(X335,1)</f>
        <v>138539.9</v>
      </c>
      <c r="Y364" s="2">
        <f>ROUND(Y335,1)</f>
        <v>81740.7</v>
      </c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>
        <f aca="true" t="shared" si="269" ref="AO364:BC364">ROUND(AO335,1)</f>
        <v>0</v>
      </c>
      <c r="AP364" s="2">
        <f t="shared" si="269"/>
        <v>2444501.7</v>
      </c>
      <c r="AQ364" s="2">
        <f t="shared" si="269"/>
        <v>0</v>
      </c>
      <c r="AR364" s="2">
        <f t="shared" si="269"/>
        <v>3107113.9</v>
      </c>
      <c r="AS364" s="2">
        <f t="shared" si="269"/>
        <v>450937.2</v>
      </c>
      <c r="AT364" s="2">
        <f t="shared" si="269"/>
        <v>77366.7</v>
      </c>
      <c r="AU364" s="2">
        <f t="shared" si="269"/>
        <v>134308.3</v>
      </c>
      <c r="AV364" s="2">
        <f t="shared" si="269"/>
        <v>2662847.4</v>
      </c>
      <c r="AW364" s="2">
        <f t="shared" si="269"/>
        <v>218345.7</v>
      </c>
      <c r="AX364" s="2">
        <f t="shared" si="269"/>
        <v>0</v>
      </c>
      <c r="AY364" s="2">
        <f t="shared" si="269"/>
        <v>218345.7</v>
      </c>
      <c r="AZ364" s="2">
        <f t="shared" si="269"/>
        <v>2444501.7</v>
      </c>
      <c r="BA364" s="2">
        <f t="shared" si="269"/>
        <v>0</v>
      </c>
      <c r="BB364" s="2">
        <f t="shared" si="269"/>
        <v>0</v>
      </c>
      <c r="BC364" s="2">
        <f t="shared" si="269"/>
        <v>0</v>
      </c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>
        <v>0</v>
      </c>
    </row>
    <row r="366" spans="1:23" ht="12.75">
      <c r="A366" s="4">
        <v>50</v>
      </c>
      <c r="B366" s="4">
        <v>1</v>
      </c>
      <c r="C366" s="4">
        <v>0</v>
      </c>
      <c r="D366" s="4">
        <v>1</v>
      </c>
      <c r="E366" s="4">
        <v>201</v>
      </c>
      <c r="F366" s="4">
        <f>ROUND(Source!O364,O366)</f>
        <v>2886833.3</v>
      </c>
      <c r="G366" s="4" t="s">
        <v>50</v>
      </c>
      <c r="H366" s="4" t="s">
        <v>51</v>
      </c>
      <c r="I366" s="4"/>
      <c r="J366" s="4"/>
      <c r="K366" s="4">
        <v>201</v>
      </c>
      <c r="L366" s="4">
        <v>1</v>
      </c>
      <c r="M366" s="4">
        <v>0</v>
      </c>
      <c r="N366" s="4" t="s">
        <v>3</v>
      </c>
      <c r="O366" s="4">
        <v>1</v>
      </c>
      <c r="P366" s="4"/>
      <c r="Q366" s="4"/>
      <c r="R366" s="4"/>
      <c r="S366" s="4"/>
      <c r="T366" s="4"/>
      <c r="U366" s="4"/>
      <c r="V366" s="4"/>
      <c r="W366" s="4"/>
    </row>
    <row r="367" spans="1:23" ht="12.75">
      <c r="A367" s="4">
        <v>50</v>
      </c>
      <c r="B367" s="4">
        <v>1</v>
      </c>
      <c r="C367" s="4">
        <v>0</v>
      </c>
      <c r="D367" s="4">
        <v>1</v>
      </c>
      <c r="E367" s="4">
        <v>202</v>
      </c>
      <c r="F367" s="4">
        <f>ROUND(Source!P364,O367)</f>
        <v>2662847.4</v>
      </c>
      <c r="G367" s="4" t="s">
        <v>52</v>
      </c>
      <c r="H367" s="4" t="s">
        <v>53</v>
      </c>
      <c r="I367" s="4"/>
      <c r="J367" s="4"/>
      <c r="K367" s="4">
        <v>202</v>
      </c>
      <c r="L367" s="4">
        <v>2</v>
      </c>
      <c r="M367" s="4">
        <v>0</v>
      </c>
      <c r="N367" s="4" t="s">
        <v>3</v>
      </c>
      <c r="O367" s="4">
        <v>1</v>
      </c>
      <c r="P367" s="4"/>
      <c r="Q367" s="4"/>
      <c r="R367" s="4"/>
      <c r="S367" s="4"/>
      <c r="T367" s="4"/>
      <c r="U367" s="4"/>
      <c r="V367" s="4"/>
      <c r="W367" s="4"/>
    </row>
    <row r="368" spans="1:23" ht="12.75">
      <c r="A368" s="4">
        <v>50</v>
      </c>
      <c r="B368" s="4">
        <v>0</v>
      </c>
      <c r="C368" s="4">
        <v>0</v>
      </c>
      <c r="D368" s="4">
        <v>1</v>
      </c>
      <c r="E368" s="4">
        <v>222</v>
      </c>
      <c r="F368" s="4">
        <f>ROUND(Source!AO364,O368)</f>
        <v>0</v>
      </c>
      <c r="G368" s="4" t="s">
        <v>54</v>
      </c>
      <c r="H368" s="4" t="s">
        <v>55</v>
      </c>
      <c r="I368" s="4"/>
      <c r="J368" s="4"/>
      <c r="K368" s="4">
        <v>222</v>
      </c>
      <c r="L368" s="4">
        <v>3</v>
      </c>
      <c r="M368" s="4">
        <v>3</v>
      </c>
      <c r="N368" s="4" t="s">
        <v>3</v>
      </c>
      <c r="O368" s="4">
        <v>1</v>
      </c>
      <c r="P368" s="4"/>
      <c r="Q368" s="4"/>
      <c r="R368" s="4"/>
      <c r="S368" s="4"/>
      <c r="T368" s="4"/>
      <c r="U368" s="4"/>
      <c r="V368" s="4"/>
      <c r="W368" s="4"/>
    </row>
    <row r="369" spans="1:23" ht="12.75">
      <c r="A369" s="4">
        <v>50</v>
      </c>
      <c r="B369" s="4">
        <v>0</v>
      </c>
      <c r="C369" s="4">
        <v>0</v>
      </c>
      <c r="D369" s="4">
        <v>1</v>
      </c>
      <c r="E369" s="4">
        <v>225</v>
      </c>
      <c r="F369" s="4">
        <f>ROUND(Source!AV364,O369)</f>
        <v>2662847.4</v>
      </c>
      <c r="G369" s="4" t="s">
        <v>56</v>
      </c>
      <c r="H369" s="4" t="s">
        <v>57</v>
      </c>
      <c r="I369" s="4"/>
      <c r="J369" s="4"/>
      <c r="K369" s="4">
        <v>225</v>
      </c>
      <c r="L369" s="4">
        <v>4</v>
      </c>
      <c r="M369" s="4">
        <v>3</v>
      </c>
      <c r="N369" s="4" t="s">
        <v>3</v>
      </c>
      <c r="O369" s="4">
        <v>1</v>
      </c>
      <c r="P369" s="4"/>
      <c r="Q369" s="4"/>
      <c r="R369" s="4"/>
      <c r="S369" s="4"/>
      <c r="T369" s="4"/>
      <c r="U369" s="4"/>
      <c r="V369" s="4"/>
      <c r="W369" s="4"/>
    </row>
    <row r="370" spans="1:23" ht="12.75">
      <c r="A370" s="4">
        <v>50</v>
      </c>
      <c r="B370" s="4">
        <v>1</v>
      </c>
      <c r="C370" s="4">
        <v>0</v>
      </c>
      <c r="D370" s="4">
        <v>1</v>
      </c>
      <c r="E370" s="4">
        <v>226</v>
      </c>
      <c r="F370" s="4">
        <f>ROUND(Source!AW364,O370)</f>
        <v>218345.7</v>
      </c>
      <c r="G370" s="4" t="s">
        <v>58</v>
      </c>
      <c r="H370" s="4" t="s">
        <v>59</v>
      </c>
      <c r="I370" s="4"/>
      <c r="J370" s="4"/>
      <c r="K370" s="4">
        <v>226</v>
      </c>
      <c r="L370" s="4">
        <v>5</v>
      </c>
      <c r="M370" s="4">
        <v>0</v>
      </c>
      <c r="N370" s="4" t="s">
        <v>3</v>
      </c>
      <c r="O370" s="4">
        <v>1</v>
      </c>
      <c r="P370" s="4"/>
      <c r="Q370" s="4"/>
      <c r="R370" s="4"/>
      <c r="S370" s="4"/>
      <c r="T370" s="4"/>
      <c r="U370" s="4"/>
      <c r="V370" s="4"/>
      <c r="W370" s="4"/>
    </row>
    <row r="371" spans="1:23" ht="12.75">
      <c r="A371" s="4">
        <v>50</v>
      </c>
      <c r="B371" s="4">
        <v>0</v>
      </c>
      <c r="C371" s="4">
        <v>0</v>
      </c>
      <c r="D371" s="4">
        <v>1</v>
      </c>
      <c r="E371" s="4">
        <v>227</v>
      </c>
      <c r="F371" s="4">
        <f>ROUND(Source!AX364,O371)</f>
        <v>0</v>
      </c>
      <c r="G371" s="4" t="s">
        <v>60</v>
      </c>
      <c r="H371" s="4" t="s">
        <v>61</v>
      </c>
      <c r="I371" s="4"/>
      <c r="J371" s="4"/>
      <c r="K371" s="4">
        <v>227</v>
      </c>
      <c r="L371" s="4">
        <v>6</v>
      </c>
      <c r="M371" s="4">
        <v>3</v>
      </c>
      <c r="N371" s="4" t="s">
        <v>3</v>
      </c>
      <c r="O371" s="4">
        <v>1</v>
      </c>
      <c r="P371" s="4"/>
      <c r="Q371" s="4"/>
      <c r="R371" s="4"/>
      <c r="S371" s="4"/>
      <c r="T371" s="4"/>
      <c r="U371" s="4"/>
      <c r="V371" s="4"/>
      <c r="W371" s="4"/>
    </row>
    <row r="372" spans="1:23" ht="12.75">
      <c r="A372" s="4">
        <v>50</v>
      </c>
      <c r="B372" s="4">
        <v>1</v>
      </c>
      <c r="C372" s="4">
        <v>0</v>
      </c>
      <c r="D372" s="4">
        <v>1</v>
      </c>
      <c r="E372" s="4">
        <v>228</v>
      </c>
      <c r="F372" s="4">
        <f>ROUND(Source!AY364,O372)</f>
        <v>218345.7</v>
      </c>
      <c r="G372" s="4" t="s">
        <v>62</v>
      </c>
      <c r="H372" s="4" t="s">
        <v>63</v>
      </c>
      <c r="I372" s="4"/>
      <c r="J372" s="4"/>
      <c r="K372" s="4">
        <v>228</v>
      </c>
      <c r="L372" s="4">
        <v>7</v>
      </c>
      <c r="M372" s="4">
        <v>0</v>
      </c>
      <c r="N372" s="4" t="s">
        <v>3</v>
      </c>
      <c r="O372" s="4">
        <v>1</v>
      </c>
      <c r="P372" s="4"/>
      <c r="Q372" s="4"/>
      <c r="R372" s="4"/>
      <c r="S372" s="4"/>
      <c r="T372" s="4"/>
      <c r="U372" s="4"/>
      <c r="V372" s="4"/>
      <c r="W372" s="4"/>
    </row>
    <row r="373" spans="1:23" ht="12.75">
      <c r="A373" s="4">
        <v>50</v>
      </c>
      <c r="B373" s="4">
        <v>1</v>
      </c>
      <c r="C373" s="4">
        <v>0</v>
      </c>
      <c r="D373" s="4">
        <v>1</v>
      </c>
      <c r="E373" s="4">
        <v>216</v>
      </c>
      <c r="F373" s="4">
        <f>ROUND(Source!AP364,O373)</f>
        <v>2444501.7</v>
      </c>
      <c r="G373" s="4" t="s">
        <v>64</v>
      </c>
      <c r="H373" s="4" t="s">
        <v>65</v>
      </c>
      <c r="I373" s="4"/>
      <c r="J373" s="4"/>
      <c r="K373" s="4">
        <v>216</v>
      </c>
      <c r="L373" s="4">
        <v>8</v>
      </c>
      <c r="M373" s="4">
        <v>0</v>
      </c>
      <c r="N373" s="4" t="s">
        <v>3</v>
      </c>
      <c r="O373" s="4">
        <v>1</v>
      </c>
      <c r="P373" s="4"/>
      <c r="Q373" s="4"/>
      <c r="R373" s="4"/>
      <c r="S373" s="4"/>
      <c r="T373" s="4"/>
      <c r="U373" s="4"/>
      <c r="V373" s="4"/>
      <c r="W373" s="4"/>
    </row>
    <row r="374" spans="1:23" ht="12.75">
      <c r="A374" s="4">
        <v>50</v>
      </c>
      <c r="B374" s="4">
        <v>0</v>
      </c>
      <c r="C374" s="4">
        <v>0</v>
      </c>
      <c r="D374" s="4">
        <v>1</v>
      </c>
      <c r="E374" s="4">
        <v>223</v>
      </c>
      <c r="F374" s="4">
        <f>ROUND(Source!AQ364,O374)</f>
        <v>0</v>
      </c>
      <c r="G374" s="4" t="s">
        <v>66</v>
      </c>
      <c r="H374" s="4" t="s">
        <v>67</v>
      </c>
      <c r="I374" s="4"/>
      <c r="J374" s="4"/>
      <c r="K374" s="4">
        <v>223</v>
      </c>
      <c r="L374" s="4">
        <v>9</v>
      </c>
      <c r="M374" s="4">
        <v>3</v>
      </c>
      <c r="N374" s="4" t="s">
        <v>3</v>
      </c>
      <c r="O374" s="4">
        <v>1</v>
      </c>
      <c r="P374" s="4"/>
      <c r="Q374" s="4"/>
      <c r="R374" s="4"/>
      <c r="S374" s="4"/>
      <c r="T374" s="4"/>
      <c r="U374" s="4"/>
      <c r="V374" s="4"/>
      <c r="W374" s="4"/>
    </row>
    <row r="375" spans="1:23" ht="12.75">
      <c r="A375" s="4">
        <v>50</v>
      </c>
      <c r="B375" s="4">
        <v>1</v>
      </c>
      <c r="C375" s="4">
        <v>0</v>
      </c>
      <c r="D375" s="4">
        <v>1</v>
      </c>
      <c r="E375" s="4">
        <v>229</v>
      </c>
      <c r="F375" s="4">
        <f>ROUND(Source!AZ364,O375)</f>
        <v>2444501.7</v>
      </c>
      <c r="G375" s="4" t="s">
        <v>68</v>
      </c>
      <c r="H375" s="4" t="s">
        <v>69</v>
      </c>
      <c r="I375" s="4"/>
      <c r="J375" s="4"/>
      <c r="K375" s="4">
        <v>229</v>
      </c>
      <c r="L375" s="4">
        <v>10</v>
      </c>
      <c r="M375" s="4">
        <v>0</v>
      </c>
      <c r="N375" s="4" t="s">
        <v>3</v>
      </c>
      <c r="O375" s="4">
        <v>1</v>
      </c>
      <c r="P375" s="4"/>
      <c r="Q375" s="4"/>
      <c r="R375" s="4"/>
      <c r="S375" s="4"/>
      <c r="T375" s="4"/>
      <c r="U375" s="4"/>
      <c r="V375" s="4"/>
      <c r="W375" s="4"/>
    </row>
    <row r="376" spans="1:23" ht="12.75">
      <c r="A376" s="4">
        <v>50</v>
      </c>
      <c r="B376" s="4">
        <v>1</v>
      </c>
      <c r="C376" s="4">
        <v>0</v>
      </c>
      <c r="D376" s="4">
        <v>1</v>
      </c>
      <c r="E376" s="4">
        <v>203</v>
      </c>
      <c r="F376" s="4">
        <f>ROUND(Source!Q364,O376)</f>
        <v>60134.6</v>
      </c>
      <c r="G376" s="4" t="s">
        <v>70</v>
      </c>
      <c r="H376" s="4" t="s">
        <v>71</v>
      </c>
      <c r="I376" s="4"/>
      <c r="J376" s="4"/>
      <c r="K376" s="4">
        <v>203</v>
      </c>
      <c r="L376" s="4">
        <v>11</v>
      </c>
      <c r="M376" s="4">
        <v>0</v>
      </c>
      <c r="N376" s="4" t="s">
        <v>3</v>
      </c>
      <c r="O376" s="4">
        <v>1</v>
      </c>
      <c r="P376" s="4"/>
      <c r="Q376" s="4"/>
      <c r="R376" s="4"/>
      <c r="S376" s="4"/>
      <c r="T376" s="4"/>
      <c r="U376" s="4"/>
      <c r="V376" s="4"/>
      <c r="W376" s="4"/>
    </row>
    <row r="377" spans="1:23" ht="12.75">
      <c r="A377" s="4">
        <v>50</v>
      </c>
      <c r="B377" s="4">
        <v>0</v>
      </c>
      <c r="C377" s="4">
        <v>0</v>
      </c>
      <c r="D377" s="4">
        <v>1</v>
      </c>
      <c r="E377" s="4">
        <v>231</v>
      </c>
      <c r="F377" s="4">
        <f>ROUND(Source!BB364,O377)</f>
        <v>0</v>
      </c>
      <c r="G377" s="4" t="s">
        <v>72</v>
      </c>
      <c r="H377" s="4" t="s">
        <v>73</v>
      </c>
      <c r="I377" s="4"/>
      <c r="J377" s="4"/>
      <c r="K377" s="4">
        <v>231</v>
      </c>
      <c r="L377" s="4">
        <v>12</v>
      </c>
      <c r="M377" s="4">
        <v>3</v>
      </c>
      <c r="N377" s="4" t="s">
        <v>3</v>
      </c>
      <c r="O377" s="4">
        <v>1</v>
      </c>
      <c r="P377" s="4"/>
      <c r="Q377" s="4"/>
      <c r="R377" s="4"/>
      <c r="S377" s="4"/>
      <c r="T377" s="4"/>
      <c r="U377" s="4"/>
      <c r="V377" s="4"/>
      <c r="W377" s="4"/>
    </row>
    <row r="378" spans="1:23" ht="12.75">
      <c r="A378" s="4">
        <v>50</v>
      </c>
      <c r="B378" s="4">
        <v>1</v>
      </c>
      <c r="C378" s="4">
        <v>0</v>
      </c>
      <c r="D378" s="4">
        <v>1</v>
      </c>
      <c r="E378" s="4">
        <v>204</v>
      </c>
      <c r="F378" s="4">
        <f>ROUND(Source!R364,O378)</f>
        <v>15306.7</v>
      </c>
      <c r="G378" s="4" t="s">
        <v>74</v>
      </c>
      <c r="H378" s="4" t="s">
        <v>75</v>
      </c>
      <c r="I378" s="4"/>
      <c r="J378" s="4"/>
      <c r="K378" s="4">
        <v>204</v>
      </c>
      <c r="L378" s="4">
        <v>13</v>
      </c>
      <c r="M378" s="4">
        <v>0</v>
      </c>
      <c r="N378" s="4" t="s">
        <v>3</v>
      </c>
      <c r="O378" s="4">
        <v>1</v>
      </c>
      <c r="P378" s="4"/>
      <c r="Q378" s="4"/>
      <c r="R378" s="4"/>
      <c r="S378" s="4"/>
      <c r="T378" s="4"/>
      <c r="U378" s="4"/>
      <c r="V378" s="4"/>
      <c r="W378" s="4"/>
    </row>
    <row r="379" spans="1:23" ht="12.75">
      <c r="A379" s="4">
        <v>50</v>
      </c>
      <c r="B379" s="4">
        <v>1</v>
      </c>
      <c r="C379" s="4">
        <v>0</v>
      </c>
      <c r="D379" s="4">
        <v>1</v>
      </c>
      <c r="E379" s="4">
        <v>205</v>
      </c>
      <c r="F379" s="4">
        <f>ROUND(Source!S364,O379)</f>
        <v>163851.3</v>
      </c>
      <c r="G379" s="4" t="s">
        <v>76</v>
      </c>
      <c r="H379" s="4" t="s">
        <v>77</v>
      </c>
      <c r="I379" s="4"/>
      <c r="J379" s="4"/>
      <c r="K379" s="4">
        <v>205</v>
      </c>
      <c r="L379" s="4">
        <v>14</v>
      </c>
      <c r="M379" s="4">
        <v>0</v>
      </c>
      <c r="N379" s="4" t="s">
        <v>3</v>
      </c>
      <c r="O379" s="4">
        <v>1</v>
      </c>
      <c r="P379" s="4"/>
      <c r="Q379" s="4"/>
      <c r="R379" s="4"/>
      <c r="S379" s="4"/>
      <c r="T379" s="4"/>
      <c r="U379" s="4"/>
      <c r="V379" s="4"/>
      <c r="W379" s="4"/>
    </row>
    <row r="380" spans="1:23" ht="12.75">
      <c r="A380" s="4">
        <v>50</v>
      </c>
      <c r="B380" s="4">
        <v>0</v>
      </c>
      <c r="C380" s="4">
        <v>0</v>
      </c>
      <c r="D380" s="4">
        <v>1</v>
      </c>
      <c r="E380" s="4">
        <v>232</v>
      </c>
      <c r="F380" s="4">
        <f>ROUND(Source!BC364,O380)</f>
        <v>0</v>
      </c>
      <c r="G380" s="4" t="s">
        <v>78</v>
      </c>
      <c r="H380" s="4" t="s">
        <v>79</v>
      </c>
      <c r="I380" s="4"/>
      <c r="J380" s="4"/>
      <c r="K380" s="4">
        <v>232</v>
      </c>
      <c r="L380" s="4">
        <v>15</v>
      </c>
      <c r="M380" s="4">
        <v>3</v>
      </c>
      <c r="N380" s="4" t="s">
        <v>3</v>
      </c>
      <c r="O380" s="4">
        <v>1</v>
      </c>
      <c r="P380" s="4"/>
      <c r="Q380" s="4"/>
      <c r="R380" s="4"/>
      <c r="S380" s="4"/>
      <c r="T380" s="4"/>
      <c r="U380" s="4"/>
      <c r="V380" s="4"/>
      <c r="W380" s="4"/>
    </row>
    <row r="381" spans="1:23" ht="12.75">
      <c r="A381" s="4">
        <v>50</v>
      </c>
      <c r="B381" s="4">
        <v>1</v>
      </c>
      <c r="C381" s="4">
        <v>0</v>
      </c>
      <c r="D381" s="4">
        <v>1</v>
      </c>
      <c r="E381" s="4">
        <v>214</v>
      </c>
      <c r="F381" s="4">
        <f>ROUND(Source!AS364,O381)</f>
        <v>450937.2</v>
      </c>
      <c r="G381" s="4" t="s">
        <v>80</v>
      </c>
      <c r="H381" s="4" t="s">
        <v>81</v>
      </c>
      <c r="I381" s="4"/>
      <c r="J381" s="4"/>
      <c r="K381" s="4">
        <v>214</v>
      </c>
      <c r="L381" s="4">
        <v>16</v>
      </c>
      <c r="M381" s="4">
        <v>0</v>
      </c>
      <c r="N381" s="4" t="s">
        <v>3</v>
      </c>
      <c r="O381" s="4">
        <v>1</v>
      </c>
      <c r="P381" s="4"/>
      <c r="Q381" s="4"/>
      <c r="R381" s="4"/>
      <c r="S381" s="4"/>
      <c r="T381" s="4"/>
      <c r="U381" s="4"/>
      <c r="V381" s="4"/>
      <c r="W381" s="4"/>
    </row>
    <row r="382" spans="1:23" ht="12.75">
      <c r="A382" s="4">
        <v>50</v>
      </c>
      <c r="B382" s="4">
        <v>1</v>
      </c>
      <c r="C382" s="4">
        <v>0</v>
      </c>
      <c r="D382" s="4">
        <v>1</v>
      </c>
      <c r="E382" s="4">
        <v>215</v>
      </c>
      <c r="F382" s="4">
        <f>ROUND(Source!AT364,O382)</f>
        <v>77366.7</v>
      </c>
      <c r="G382" s="4" t="s">
        <v>82</v>
      </c>
      <c r="H382" s="4" t="s">
        <v>83</v>
      </c>
      <c r="I382" s="4"/>
      <c r="J382" s="4"/>
      <c r="K382" s="4">
        <v>215</v>
      </c>
      <c r="L382" s="4">
        <v>17</v>
      </c>
      <c r="M382" s="4">
        <v>0</v>
      </c>
      <c r="N382" s="4" t="s">
        <v>3</v>
      </c>
      <c r="O382" s="4">
        <v>1</v>
      </c>
      <c r="P382" s="4"/>
      <c r="Q382" s="4"/>
      <c r="R382" s="4"/>
      <c r="S382" s="4"/>
      <c r="T382" s="4"/>
      <c r="U382" s="4"/>
      <c r="V382" s="4"/>
      <c r="W382" s="4"/>
    </row>
    <row r="383" spans="1:23" ht="12.75">
      <c r="A383" s="4">
        <v>50</v>
      </c>
      <c r="B383" s="4">
        <v>1</v>
      </c>
      <c r="C383" s="4">
        <v>0</v>
      </c>
      <c r="D383" s="4">
        <v>1</v>
      </c>
      <c r="E383" s="4">
        <v>0</v>
      </c>
      <c r="F383" s="4">
        <f>ROUND(Source!AU364,O383)</f>
        <v>134308.3</v>
      </c>
      <c r="G383" s="4" t="s">
        <v>84</v>
      </c>
      <c r="H383" s="4" t="s">
        <v>85</v>
      </c>
      <c r="I383" s="4"/>
      <c r="J383" s="4"/>
      <c r="K383" s="4">
        <v>217</v>
      </c>
      <c r="L383" s="4">
        <v>18</v>
      </c>
      <c r="M383" s="4">
        <v>0</v>
      </c>
      <c r="N383" s="4" t="s">
        <v>3</v>
      </c>
      <c r="O383" s="4">
        <v>1</v>
      </c>
      <c r="P383" s="4"/>
      <c r="Q383" s="4"/>
      <c r="R383" s="4"/>
      <c r="S383" s="4"/>
      <c r="T383" s="4"/>
      <c r="U383" s="4"/>
      <c r="V383" s="4"/>
      <c r="W383" s="4"/>
    </row>
    <row r="384" spans="1:23" ht="12.75">
      <c r="A384" s="4">
        <v>50</v>
      </c>
      <c r="B384" s="4">
        <v>0</v>
      </c>
      <c r="C384" s="4">
        <v>0</v>
      </c>
      <c r="D384" s="4">
        <v>1</v>
      </c>
      <c r="E384" s="4">
        <v>230</v>
      </c>
      <c r="F384" s="4">
        <f>ROUND(Source!BA364,O384)</f>
        <v>0</v>
      </c>
      <c r="G384" s="4" t="s">
        <v>86</v>
      </c>
      <c r="H384" s="4" t="s">
        <v>87</v>
      </c>
      <c r="I384" s="4"/>
      <c r="J384" s="4"/>
      <c r="K384" s="4">
        <v>230</v>
      </c>
      <c r="L384" s="4">
        <v>19</v>
      </c>
      <c r="M384" s="4">
        <v>3</v>
      </c>
      <c r="N384" s="4" t="s">
        <v>3</v>
      </c>
      <c r="O384" s="4">
        <v>1</v>
      </c>
      <c r="P384" s="4"/>
      <c r="Q384" s="4"/>
      <c r="R384" s="4"/>
      <c r="S384" s="4"/>
      <c r="T384" s="4"/>
      <c r="U384" s="4"/>
      <c r="V384" s="4"/>
      <c r="W384" s="4"/>
    </row>
    <row r="385" spans="1:23" ht="12.75">
      <c r="A385" s="4">
        <v>50</v>
      </c>
      <c r="B385" s="4">
        <v>0</v>
      </c>
      <c r="C385" s="4">
        <v>0</v>
      </c>
      <c r="D385" s="4">
        <v>1</v>
      </c>
      <c r="E385" s="4">
        <v>206</v>
      </c>
      <c r="F385" s="4">
        <f>ROUND(Source!T364,O385)</f>
        <v>0</v>
      </c>
      <c r="G385" s="4" t="s">
        <v>88</v>
      </c>
      <c r="H385" s="4" t="s">
        <v>89</v>
      </c>
      <c r="I385" s="4"/>
      <c r="J385" s="4"/>
      <c r="K385" s="4">
        <v>206</v>
      </c>
      <c r="L385" s="4">
        <v>20</v>
      </c>
      <c r="M385" s="4">
        <v>3</v>
      </c>
      <c r="N385" s="4" t="s">
        <v>3</v>
      </c>
      <c r="O385" s="4">
        <v>1</v>
      </c>
      <c r="P385" s="4"/>
      <c r="Q385" s="4"/>
      <c r="R385" s="4"/>
      <c r="S385" s="4"/>
      <c r="T385" s="4"/>
      <c r="U385" s="4"/>
      <c r="V385" s="4"/>
      <c r="W385" s="4"/>
    </row>
    <row r="386" spans="1:23" ht="12.75">
      <c r="A386" s="4">
        <v>50</v>
      </c>
      <c r="B386" s="4">
        <v>1</v>
      </c>
      <c r="C386" s="4">
        <v>0</v>
      </c>
      <c r="D386" s="4">
        <v>1</v>
      </c>
      <c r="E386" s="4">
        <v>207</v>
      </c>
      <c r="F386" s="4">
        <f>Source!U364</f>
        <v>803.6263416</v>
      </c>
      <c r="G386" s="4" t="s">
        <v>90</v>
      </c>
      <c r="H386" s="4" t="s">
        <v>91</v>
      </c>
      <c r="I386" s="4"/>
      <c r="J386" s="4"/>
      <c r="K386" s="4">
        <v>207</v>
      </c>
      <c r="L386" s="4">
        <v>21</v>
      </c>
      <c r="M386" s="4">
        <v>0</v>
      </c>
      <c r="N386" s="4" t="s">
        <v>3</v>
      </c>
      <c r="O386" s="4">
        <v>-1</v>
      </c>
      <c r="P386" s="4"/>
      <c r="Q386" s="4"/>
      <c r="R386" s="4"/>
      <c r="S386" s="4"/>
      <c r="T386" s="4"/>
      <c r="U386" s="4"/>
      <c r="V386" s="4"/>
      <c r="W386" s="4"/>
    </row>
    <row r="387" spans="1:23" ht="12.75">
      <c r="A387" s="4">
        <v>50</v>
      </c>
      <c r="B387" s="4">
        <v>1</v>
      </c>
      <c r="C387" s="4">
        <v>0</v>
      </c>
      <c r="D387" s="4">
        <v>1</v>
      </c>
      <c r="E387" s="4">
        <v>208</v>
      </c>
      <c r="F387" s="4">
        <f>Source!V364</f>
        <v>60.318768399999996</v>
      </c>
      <c r="G387" s="4" t="s">
        <v>92</v>
      </c>
      <c r="H387" s="4" t="s">
        <v>93</v>
      </c>
      <c r="I387" s="4"/>
      <c r="J387" s="4"/>
      <c r="K387" s="4">
        <v>208</v>
      </c>
      <c r="L387" s="4">
        <v>22</v>
      </c>
      <c r="M387" s="4">
        <v>0</v>
      </c>
      <c r="N387" s="4" t="s">
        <v>3</v>
      </c>
      <c r="O387" s="4">
        <v>-1</v>
      </c>
      <c r="P387" s="4"/>
      <c r="Q387" s="4"/>
      <c r="R387" s="4"/>
      <c r="S387" s="4"/>
      <c r="T387" s="4"/>
      <c r="U387" s="4"/>
      <c r="V387" s="4"/>
      <c r="W387" s="4"/>
    </row>
    <row r="388" spans="1:23" ht="12.75">
      <c r="A388" s="4">
        <v>50</v>
      </c>
      <c r="B388" s="4">
        <v>0</v>
      </c>
      <c r="C388" s="4">
        <v>0</v>
      </c>
      <c r="D388" s="4">
        <v>1</v>
      </c>
      <c r="E388" s="4">
        <v>209</v>
      </c>
      <c r="F388" s="4">
        <f>ROUND(Source!W364,O388)</f>
        <v>0</v>
      </c>
      <c r="G388" s="4" t="s">
        <v>94</v>
      </c>
      <c r="H388" s="4" t="s">
        <v>95</v>
      </c>
      <c r="I388" s="4"/>
      <c r="J388" s="4"/>
      <c r="K388" s="4">
        <v>209</v>
      </c>
      <c r="L388" s="4">
        <v>23</v>
      </c>
      <c r="M388" s="4">
        <v>3</v>
      </c>
      <c r="N388" s="4" t="s">
        <v>3</v>
      </c>
      <c r="O388" s="4">
        <v>1</v>
      </c>
      <c r="P388" s="4"/>
      <c r="Q388" s="4"/>
      <c r="R388" s="4"/>
      <c r="S388" s="4"/>
      <c r="T388" s="4"/>
      <c r="U388" s="4"/>
      <c r="V388" s="4"/>
      <c r="W388" s="4"/>
    </row>
    <row r="389" spans="1:23" ht="12.75">
      <c r="A389" s="4">
        <v>50</v>
      </c>
      <c r="B389" s="4">
        <v>1</v>
      </c>
      <c r="C389" s="4">
        <v>0</v>
      </c>
      <c r="D389" s="4">
        <v>1</v>
      </c>
      <c r="E389" s="4">
        <v>210</v>
      </c>
      <c r="F389" s="4">
        <f>ROUND(Source!X364,O389)</f>
        <v>138539.9</v>
      </c>
      <c r="G389" s="4" t="s">
        <v>96</v>
      </c>
      <c r="H389" s="4" t="s">
        <v>97</v>
      </c>
      <c r="I389" s="4"/>
      <c r="J389" s="4"/>
      <c r="K389" s="4">
        <v>210</v>
      </c>
      <c r="L389" s="4">
        <v>24</v>
      </c>
      <c r="M389" s="4">
        <v>0</v>
      </c>
      <c r="N389" s="4" t="s">
        <v>3</v>
      </c>
      <c r="O389" s="4">
        <v>1</v>
      </c>
      <c r="P389" s="4"/>
      <c r="Q389" s="4"/>
      <c r="R389" s="4"/>
      <c r="S389" s="4"/>
      <c r="T389" s="4"/>
      <c r="U389" s="4"/>
      <c r="V389" s="4"/>
      <c r="W389" s="4"/>
    </row>
    <row r="390" spans="1:23" ht="12.75">
      <c r="A390" s="4">
        <v>50</v>
      </c>
      <c r="B390" s="4">
        <v>1</v>
      </c>
      <c r="C390" s="4">
        <v>0</v>
      </c>
      <c r="D390" s="4">
        <v>1</v>
      </c>
      <c r="E390" s="4">
        <v>211</v>
      </c>
      <c r="F390" s="4">
        <f>ROUND(Source!Y364,O390)</f>
        <v>81740.7</v>
      </c>
      <c r="G390" s="4" t="s">
        <v>98</v>
      </c>
      <c r="H390" s="4" t="s">
        <v>99</v>
      </c>
      <c r="I390" s="4"/>
      <c r="J390" s="4"/>
      <c r="K390" s="4">
        <v>211</v>
      </c>
      <c r="L390" s="4">
        <v>25</v>
      </c>
      <c r="M390" s="4">
        <v>0</v>
      </c>
      <c r="N390" s="4" t="s">
        <v>3</v>
      </c>
      <c r="O390" s="4">
        <v>1</v>
      </c>
      <c r="P390" s="4"/>
      <c r="Q390" s="4"/>
      <c r="R390" s="4"/>
      <c r="S390" s="4"/>
      <c r="T390" s="4"/>
      <c r="U390" s="4"/>
      <c r="V390" s="4"/>
      <c r="W390" s="4"/>
    </row>
    <row r="391" spans="1:23" ht="12.75">
      <c r="A391" s="4">
        <v>50</v>
      </c>
      <c r="B391" s="4">
        <v>1</v>
      </c>
      <c r="C391" s="4">
        <v>0</v>
      </c>
      <c r="D391" s="4">
        <v>1</v>
      </c>
      <c r="E391" s="4">
        <v>213</v>
      </c>
      <c r="F391" s="4">
        <f>ROUND(Source!AR364,O391)</f>
        <v>3107113.9</v>
      </c>
      <c r="G391" s="4" t="s">
        <v>100</v>
      </c>
      <c r="H391" s="4" t="s">
        <v>101</v>
      </c>
      <c r="I391" s="4"/>
      <c r="J391" s="4"/>
      <c r="K391" s="4">
        <v>224</v>
      </c>
      <c r="L391" s="4">
        <v>26</v>
      </c>
      <c r="M391" s="4">
        <v>0</v>
      </c>
      <c r="N391" s="4" t="s">
        <v>3</v>
      </c>
      <c r="O391" s="4">
        <v>1</v>
      </c>
      <c r="P391" s="4"/>
      <c r="Q391" s="4"/>
      <c r="R391" s="4"/>
      <c r="S391" s="4"/>
      <c r="T391" s="4"/>
      <c r="U391" s="4"/>
      <c r="V391" s="4"/>
      <c r="W391" s="4"/>
    </row>
    <row r="392" spans="1:23" ht="12.75">
      <c r="A392" s="4">
        <v>50</v>
      </c>
      <c r="B392" s="4">
        <v>1</v>
      </c>
      <c r="C392" s="4">
        <v>0</v>
      </c>
      <c r="D392" s="4">
        <v>2</v>
      </c>
      <c r="E392" s="4">
        <v>217</v>
      </c>
      <c r="F392" s="4">
        <f>F391*0.18</f>
        <v>559280.502</v>
      </c>
      <c r="G392" s="4" t="s">
        <v>392</v>
      </c>
      <c r="H392" s="4" t="s">
        <v>393</v>
      </c>
      <c r="I392" s="4"/>
      <c r="J392" s="4"/>
      <c r="K392" s="4">
        <v>212</v>
      </c>
      <c r="L392" s="4">
        <v>27</v>
      </c>
      <c r="M392" s="4">
        <v>0</v>
      </c>
      <c r="N392" s="4" t="s">
        <v>3</v>
      </c>
      <c r="O392" s="4">
        <v>-1</v>
      </c>
      <c r="P392" s="4"/>
      <c r="Q392" s="4"/>
      <c r="R392" s="4"/>
      <c r="S392" s="4"/>
      <c r="T392" s="4"/>
      <c r="U392" s="4"/>
      <c r="V392" s="4"/>
      <c r="W392" s="4"/>
    </row>
    <row r="393" spans="1:23" ht="12.75">
      <c r="A393" s="4">
        <v>50</v>
      </c>
      <c r="B393" s="4">
        <v>1</v>
      </c>
      <c r="C393" s="4">
        <v>0</v>
      </c>
      <c r="D393" s="4">
        <v>2</v>
      </c>
      <c r="E393" s="4">
        <v>224</v>
      </c>
      <c r="F393" s="4">
        <f>ROUND(F391+F392,O393)</f>
        <v>3666394</v>
      </c>
      <c r="G393" s="4" t="s">
        <v>394</v>
      </c>
      <c r="H393" s="4" t="s">
        <v>395</v>
      </c>
      <c r="I393" s="4"/>
      <c r="J393" s="4"/>
      <c r="K393" s="4">
        <v>212</v>
      </c>
      <c r="L393" s="4">
        <v>28</v>
      </c>
      <c r="M393" s="4">
        <v>0</v>
      </c>
      <c r="N393" s="4" t="s">
        <v>3</v>
      </c>
      <c r="O393" s="4">
        <v>0</v>
      </c>
      <c r="P393" s="4"/>
      <c r="Q393" s="4"/>
      <c r="R393" s="4"/>
      <c r="S393" s="4"/>
      <c r="T393" s="4"/>
      <c r="U393" s="4"/>
      <c r="V393" s="4"/>
      <c r="W393" s="4"/>
    </row>
    <row r="396" spans="1:14" ht="12.75">
      <c r="A396">
        <v>70</v>
      </c>
      <c r="B396">
        <v>1</v>
      </c>
      <c r="D396">
        <v>1</v>
      </c>
      <c r="E396" t="s">
        <v>396</v>
      </c>
      <c r="F396" t="s">
        <v>397</v>
      </c>
      <c r="G396">
        <v>1</v>
      </c>
      <c r="H396">
        <v>0</v>
      </c>
      <c r="J396">
        <v>1</v>
      </c>
      <c r="K396">
        <v>0</v>
      </c>
      <c r="N396">
        <v>1</v>
      </c>
    </row>
    <row r="397" spans="1:14" ht="12.75">
      <c r="A397">
        <v>70</v>
      </c>
      <c r="B397">
        <v>1</v>
      </c>
      <c r="D397">
        <v>2</v>
      </c>
      <c r="E397" t="s">
        <v>398</v>
      </c>
      <c r="F397" t="s">
        <v>399</v>
      </c>
      <c r="G397">
        <v>0</v>
      </c>
      <c r="H397">
        <v>0</v>
      </c>
      <c r="J397">
        <v>1</v>
      </c>
      <c r="K397">
        <v>0</v>
      </c>
      <c r="N397">
        <v>0</v>
      </c>
    </row>
    <row r="398" spans="1:14" ht="12.75">
      <c r="A398">
        <v>70</v>
      </c>
      <c r="B398">
        <v>1</v>
      </c>
      <c r="D398">
        <v>3</v>
      </c>
      <c r="E398" t="s">
        <v>400</v>
      </c>
      <c r="F398" t="s">
        <v>401</v>
      </c>
      <c r="G398">
        <v>0</v>
      </c>
      <c r="H398">
        <v>0</v>
      </c>
      <c r="J398">
        <v>1</v>
      </c>
      <c r="K398">
        <v>0</v>
      </c>
      <c r="N398">
        <v>0</v>
      </c>
    </row>
    <row r="399" spans="1:14" ht="12.75">
      <c r="A399">
        <v>70</v>
      </c>
      <c r="B399">
        <v>1</v>
      </c>
      <c r="D399">
        <v>4</v>
      </c>
      <c r="E399" t="s">
        <v>402</v>
      </c>
      <c r="F399" t="s">
        <v>403</v>
      </c>
      <c r="G399">
        <v>0</v>
      </c>
      <c r="H399">
        <v>0</v>
      </c>
      <c r="I399" t="s">
        <v>404</v>
      </c>
      <c r="J399">
        <v>0</v>
      </c>
      <c r="K399">
        <v>0</v>
      </c>
      <c r="N399">
        <v>0</v>
      </c>
    </row>
    <row r="400" spans="1:14" ht="12.75">
      <c r="A400">
        <v>70</v>
      </c>
      <c r="B400">
        <v>1</v>
      </c>
      <c r="D400">
        <v>5</v>
      </c>
      <c r="E400" t="s">
        <v>405</v>
      </c>
      <c r="F400" t="s">
        <v>406</v>
      </c>
      <c r="G400">
        <v>0</v>
      </c>
      <c r="H400">
        <v>0</v>
      </c>
      <c r="I400" t="s">
        <v>407</v>
      </c>
      <c r="J400">
        <v>0</v>
      </c>
      <c r="K400">
        <v>0</v>
      </c>
      <c r="N400">
        <v>0</v>
      </c>
    </row>
    <row r="401" spans="1:14" ht="12.75">
      <c r="A401">
        <v>70</v>
      </c>
      <c r="B401">
        <v>1</v>
      </c>
      <c r="D401">
        <v>6</v>
      </c>
      <c r="E401" t="s">
        <v>408</v>
      </c>
      <c r="F401" t="s">
        <v>409</v>
      </c>
      <c r="G401">
        <v>0</v>
      </c>
      <c r="H401">
        <v>0</v>
      </c>
      <c r="I401" t="s">
        <v>410</v>
      </c>
      <c r="J401">
        <v>0</v>
      </c>
      <c r="K401">
        <v>0</v>
      </c>
      <c r="N401">
        <v>0</v>
      </c>
    </row>
    <row r="402" spans="1:14" ht="12.75">
      <c r="A402">
        <v>70</v>
      </c>
      <c r="B402">
        <v>1</v>
      </c>
      <c r="D402">
        <v>7</v>
      </c>
      <c r="E402" t="s">
        <v>411</v>
      </c>
      <c r="F402" t="s">
        <v>412</v>
      </c>
      <c r="G402">
        <v>0</v>
      </c>
      <c r="H402">
        <v>0</v>
      </c>
      <c r="J402">
        <v>0</v>
      </c>
      <c r="K402">
        <v>0</v>
      </c>
      <c r="N402">
        <v>0</v>
      </c>
    </row>
    <row r="403" spans="1:14" ht="12.75">
      <c r="A403">
        <v>70</v>
      </c>
      <c r="B403">
        <v>1</v>
      </c>
      <c r="D403">
        <v>8</v>
      </c>
      <c r="E403" t="s">
        <v>413</v>
      </c>
      <c r="F403" t="s">
        <v>414</v>
      </c>
      <c r="G403">
        <v>0</v>
      </c>
      <c r="H403">
        <v>0</v>
      </c>
      <c r="I403" t="s">
        <v>415</v>
      </c>
      <c r="J403">
        <v>0</v>
      </c>
      <c r="K403">
        <v>0</v>
      </c>
      <c r="N403">
        <v>0</v>
      </c>
    </row>
    <row r="404" spans="1:14" ht="12.75">
      <c r="A404">
        <v>70</v>
      </c>
      <c r="B404">
        <v>1</v>
      </c>
      <c r="D404">
        <v>9</v>
      </c>
      <c r="E404" t="s">
        <v>416</v>
      </c>
      <c r="F404" t="s">
        <v>417</v>
      </c>
      <c r="G404">
        <v>0</v>
      </c>
      <c r="H404">
        <v>0</v>
      </c>
      <c r="I404" t="s">
        <v>418</v>
      </c>
      <c r="J404">
        <v>0</v>
      </c>
      <c r="K404">
        <v>0</v>
      </c>
      <c r="N404">
        <v>0</v>
      </c>
    </row>
    <row r="405" spans="1:14" ht="12.75">
      <c r="A405">
        <v>70</v>
      </c>
      <c r="B405">
        <v>1</v>
      </c>
      <c r="D405">
        <v>10</v>
      </c>
      <c r="E405" t="s">
        <v>419</v>
      </c>
      <c r="F405" t="s">
        <v>420</v>
      </c>
      <c r="G405">
        <v>0</v>
      </c>
      <c r="H405">
        <v>0</v>
      </c>
      <c r="I405" t="s">
        <v>421</v>
      </c>
      <c r="J405">
        <v>0</v>
      </c>
      <c r="K405">
        <v>0</v>
      </c>
      <c r="N405">
        <v>0</v>
      </c>
    </row>
    <row r="406" spans="1:14" ht="12.75">
      <c r="A406">
        <v>70</v>
      </c>
      <c r="B406">
        <v>1</v>
      </c>
      <c r="D406">
        <v>11</v>
      </c>
      <c r="E406" t="s">
        <v>422</v>
      </c>
      <c r="F406" t="s">
        <v>423</v>
      </c>
      <c r="G406">
        <v>0</v>
      </c>
      <c r="H406">
        <v>0</v>
      </c>
      <c r="I406" t="s">
        <v>424</v>
      </c>
      <c r="J406">
        <v>0</v>
      </c>
      <c r="K406">
        <v>0</v>
      </c>
      <c r="N406">
        <v>0</v>
      </c>
    </row>
    <row r="407" spans="1:14" ht="12.75">
      <c r="A407">
        <v>70</v>
      </c>
      <c r="B407">
        <v>1</v>
      </c>
      <c r="D407">
        <v>12</v>
      </c>
      <c r="E407" t="s">
        <v>425</v>
      </c>
      <c r="F407" t="s">
        <v>426</v>
      </c>
      <c r="G407">
        <v>0</v>
      </c>
      <c r="H407">
        <v>0</v>
      </c>
      <c r="J407">
        <v>0</v>
      </c>
      <c r="K407">
        <v>0</v>
      </c>
      <c r="N407">
        <v>0</v>
      </c>
    </row>
    <row r="408" spans="1:14" ht="12.75">
      <c r="A408">
        <v>70</v>
      </c>
      <c r="B408">
        <v>1</v>
      </c>
      <c r="D408">
        <v>1</v>
      </c>
      <c r="E408" t="s">
        <v>427</v>
      </c>
      <c r="F408" t="s">
        <v>428</v>
      </c>
      <c r="G408">
        <v>0.9</v>
      </c>
      <c r="H408">
        <v>1</v>
      </c>
      <c r="I408" t="s">
        <v>429</v>
      </c>
      <c r="J408">
        <v>0</v>
      </c>
      <c r="K408">
        <v>0</v>
      </c>
      <c r="N408">
        <v>0</v>
      </c>
    </row>
    <row r="409" spans="1:14" ht="12.75">
      <c r="A409">
        <v>70</v>
      </c>
      <c r="B409">
        <v>1</v>
      </c>
      <c r="D409">
        <v>2</v>
      </c>
      <c r="E409" t="s">
        <v>430</v>
      </c>
      <c r="F409" t="s">
        <v>431</v>
      </c>
      <c r="G409">
        <v>0.85</v>
      </c>
      <c r="H409">
        <v>1</v>
      </c>
      <c r="I409" t="s">
        <v>432</v>
      </c>
      <c r="J409">
        <v>0</v>
      </c>
      <c r="K409">
        <v>0</v>
      </c>
      <c r="N409">
        <v>0</v>
      </c>
    </row>
    <row r="410" spans="1:14" ht="12.75">
      <c r="A410">
        <v>70</v>
      </c>
      <c r="B410">
        <v>1</v>
      </c>
      <c r="D410">
        <v>3</v>
      </c>
      <c r="E410" t="s">
        <v>433</v>
      </c>
      <c r="F410" t="s">
        <v>434</v>
      </c>
      <c r="G410">
        <v>1</v>
      </c>
      <c r="H410">
        <v>0.85</v>
      </c>
      <c r="I410" t="s">
        <v>435</v>
      </c>
      <c r="J410">
        <v>0</v>
      </c>
      <c r="K410">
        <v>0</v>
      </c>
      <c r="N410">
        <v>0</v>
      </c>
    </row>
    <row r="411" spans="1:14" ht="12.75">
      <c r="A411">
        <v>70</v>
      </c>
      <c r="B411">
        <v>1</v>
      </c>
      <c r="D411">
        <v>4</v>
      </c>
      <c r="E411" t="s">
        <v>436</v>
      </c>
      <c r="F411" t="s">
        <v>437</v>
      </c>
      <c r="G411">
        <v>1</v>
      </c>
      <c r="H411">
        <v>0</v>
      </c>
      <c r="J411">
        <v>0</v>
      </c>
      <c r="K411">
        <v>0</v>
      </c>
      <c r="N411">
        <v>0</v>
      </c>
    </row>
    <row r="412" spans="1:14" ht="12.75">
      <c r="A412">
        <v>70</v>
      </c>
      <c r="B412">
        <v>1</v>
      </c>
      <c r="D412">
        <v>5</v>
      </c>
      <c r="E412" t="s">
        <v>438</v>
      </c>
      <c r="F412" t="s">
        <v>439</v>
      </c>
      <c r="G412">
        <v>1</v>
      </c>
      <c r="H412">
        <v>0.8</v>
      </c>
      <c r="I412" t="s">
        <v>440</v>
      </c>
      <c r="J412">
        <v>0</v>
      </c>
      <c r="K412">
        <v>0</v>
      </c>
      <c r="N412">
        <v>0</v>
      </c>
    </row>
    <row r="413" spans="1:14" ht="12.75">
      <c r="A413">
        <v>70</v>
      </c>
      <c r="B413">
        <v>1</v>
      </c>
      <c r="D413">
        <v>6</v>
      </c>
      <c r="E413" t="s">
        <v>441</v>
      </c>
      <c r="F413" t="s">
        <v>442</v>
      </c>
      <c r="G413">
        <v>0.85</v>
      </c>
      <c r="H413">
        <v>0</v>
      </c>
      <c r="J413">
        <v>0</v>
      </c>
      <c r="K413">
        <v>0</v>
      </c>
      <c r="N413">
        <v>0</v>
      </c>
    </row>
    <row r="414" spans="1:14" ht="12.75">
      <c r="A414">
        <v>70</v>
      </c>
      <c r="B414">
        <v>1</v>
      </c>
      <c r="D414">
        <v>7</v>
      </c>
      <c r="E414" t="s">
        <v>443</v>
      </c>
      <c r="F414" t="s">
        <v>444</v>
      </c>
      <c r="G414">
        <v>0.8</v>
      </c>
      <c r="H414">
        <v>0</v>
      </c>
      <c r="J414">
        <v>0</v>
      </c>
      <c r="K414">
        <v>0</v>
      </c>
      <c r="N414">
        <v>0</v>
      </c>
    </row>
    <row r="415" spans="1:14" ht="12.75">
      <c r="A415">
        <v>70</v>
      </c>
      <c r="B415">
        <v>1</v>
      </c>
      <c r="D415">
        <v>8</v>
      </c>
      <c r="E415" t="s">
        <v>445</v>
      </c>
      <c r="F415" t="s">
        <v>446</v>
      </c>
      <c r="G415">
        <v>0.94</v>
      </c>
      <c r="H415">
        <v>0</v>
      </c>
      <c r="J415">
        <v>0</v>
      </c>
      <c r="K415">
        <v>0</v>
      </c>
      <c r="N415">
        <v>0</v>
      </c>
    </row>
    <row r="416" spans="1:14" ht="12.75">
      <c r="A416">
        <v>70</v>
      </c>
      <c r="B416">
        <v>1</v>
      </c>
      <c r="D416">
        <v>9</v>
      </c>
      <c r="E416" t="s">
        <v>447</v>
      </c>
      <c r="F416" t="s">
        <v>448</v>
      </c>
      <c r="G416">
        <v>0.9</v>
      </c>
      <c r="H416">
        <v>0</v>
      </c>
      <c r="J416">
        <v>0</v>
      </c>
      <c r="K416">
        <v>0</v>
      </c>
      <c r="N416">
        <v>0</v>
      </c>
    </row>
    <row r="417" spans="1:14" ht="12.75">
      <c r="A417">
        <v>70</v>
      </c>
      <c r="B417">
        <v>1</v>
      </c>
      <c r="D417">
        <v>10</v>
      </c>
      <c r="E417" t="s">
        <v>449</v>
      </c>
      <c r="F417" t="s">
        <v>450</v>
      </c>
      <c r="G417">
        <v>0.6</v>
      </c>
      <c r="H417">
        <v>0</v>
      </c>
      <c r="J417">
        <v>0</v>
      </c>
      <c r="K417">
        <v>0</v>
      </c>
      <c r="N417">
        <v>0</v>
      </c>
    </row>
    <row r="418" spans="1:14" ht="12.75">
      <c r="A418">
        <v>70</v>
      </c>
      <c r="B418">
        <v>1</v>
      </c>
      <c r="D418">
        <v>11</v>
      </c>
      <c r="E418" t="s">
        <v>451</v>
      </c>
      <c r="F418" t="s">
        <v>452</v>
      </c>
      <c r="G418">
        <v>1.2</v>
      </c>
      <c r="H418">
        <v>0</v>
      </c>
      <c r="J418">
        <v>0</v>
      </c>
      <c r="K418">
        <v>0</v>
      </c>
      <c r="N418">
        <v>0</v>
      </c>
    </row>
    <row r="419" spans="1:14" ht="12.75">
      <c r="A419">
        <v>70</v>
      </c>
      <c r="B419">
        <v>1</v>
      </c>
      <c r="D419">
        <v>12</v>
      </c>
      <c r="E419" t="s">
        <v>453</v>
      </c>
      <c r="F419" t="s">
        <v>454</v>
      </c>
      <c r="G419">
        <v>0</v>
      </c>
      <c r="H419">
        <v>0</v>
      </c>
      <c r="J419">
        <v>0</v>
      </c>
      <c r="K419">
        <v>0</v>
      </c>
      <c r="N419">
        <v>0</v>
      </c>
    </row>
    <row r="420" spans="1:14" ht="12.75">
      <c r="A420">
        <v>70</v>
      </c>
      <c r="B420">
        <v>1</v>
      </c>
      <c r="D420">
        <v>13</v>
      </c>
      <c r="E420" t="s">
        <v>455</v>
      </c>
      <c r="F420" t="s">
        <v>456</v>
      </c>
      <c r="G420">
        <v>0.94</v>
      </c>
      <c r="H420">
        <v>0</v>
      </c>
      <c r="J420">
        <v>0</v>
      </c>
      <c r="K420">
        <v>0</v>
      </c>
      <c r="N420">
        <v>0</v>
      </c>
    </row>
    <row r="422" ht="12.75">
      <c r="A422">
        <v>-1</v>
      </c>
    </row>
    <row r="424" spans="1:15" ht="12.75">
      <c r="A424" s="3">
        <v>75</v>
      </c>
      <c r="B424" s="3" t="s">
        <v>3</v>
      </c>
      <c r="C424" s="3">
        <v>2017</v>
      </c>
      <c r="D424" s="3">
        <v>0</v>
      </c>
      <c r="E424" s="3">
        <v>10</v>
      </c>
      <c r="F424" s="3">
        <v>0</v>
      </c>
      <c r="G424" s="3">
        <v>0</v>
      </c>
      <c r="H424" s="3">
        <v>1</v>
      </c>
      <c r="I424" s="3">
        <v>0</v>
      </c>
      <c r="J424" s="3">
        <v>1</v>
      </c>
      <c r="K424" s="3">
        <v>0</v>
      </c>
      <c r="L424" s="3">
        <v>0</v>
      </c>
      <c r="M424" s="3">
        <v>0</v>
      </c>
      <c r="N424" s="3">
        <v>42253831</v>
      </c>
      <c r="O424" s="3">
        <v>1</v>
      </c>
    </row>
    <row r="425" spans="1:34" ht="12.75">
      <c r="A425" s="5">
        <v>3</v>
      </c>
      <c r="B425" s="5" t="s">
        <v>457</v>
      </c>
      <c r="C425" s="5">
        <v>7.76</v>
      </c>
      <c r="D425" s="5">
        <v>5.66</v>
      </c>
      <c r="E425" s="5">
        <v>7.11</v>
      </c>
      <c r="F425" s="5">
        <v>19.96</v>
      </c>
      <c r="G425" s="5">
        <v>19.96</v>
      </c>
      <c r="H425" s="5">
        <v>3.93</v>
      </c>
      <c r="I425" s="5">
        <v>19.96</v>
      </c>
      <c r="J425" s="5">
        <v>2</v>
      </c>
      <c r="K425" s="5">
        <v>19.96</v>
      </c>
      <c r="L425" s="5">
        <v>5.55</v>
      </c>
      <c r="M425" s="5">
        <v>7.76</v>
      </c>
      <c r="N425" s="5">
        <v>5.66</v>
      </c>
      <c r="O425" s="5">
        <v>3.93</v>
      </c>
      <c r="P425" s="5">
        <v>19.96</v>
      </c>
      <c r="Q425" s="5">
        <v>19.96</v>
      </c>
      <c r="R425" s="5">
        <v>5.55</v>
      </c>
      <c r="S425" s="5" t="s">
        <v>27</v>
      </c>
      <c r="T425" s="5" t="s">
        <v>3</v>
      </c>
      <c r="U425" s="5" t="s">
        <v>3</v>
      </c>
      <c r="V425" s="5" t="s">
        <v>3</v>
      </c>
      <c r="W425" s="5" t="s">
        <v>3</v>
      </c>
      <c r="X425" s="5" t="s">
        <v>3</v>
      </c>
      <c r="Y425" s="5" t="s">
        <v>3</v>
      </c>
      <c r="Z425" s="5" t="s">
        <v>3</v>
      </c>
      <c r="AA425" s="5" t="s">
        <v>3</v>
      </c>
      <c r="AB425" s="5" t="s">
        <v>3</v>
      </c>
      <c r="AC425" s="5" t="s">
        <v>3</v>
      </c>
      <c r="AD425" s="5" t="s">
        <v>3</v>
      </c>
      <c r="AE425" s="5" t="s">
        <v>3</v>
      </c>
      <c r="AF425" s="5" t="s">
        <v>3</v>
      </c>
      <c r="AG425" s="5" t="s">
        <v>3</v>
      </c>
      <c r="AH425" s="5" t="s">
        <v>3</v>
      </c>
    </row>
    <row r="426" spans="1:34" ht="12.75">
      <c r="A426" s="5">
        <v>3</v>
      </c>
      <c r="B426" s="5" t="s">
        <v>457</v>
      </c>
      <c r="C426" s="5">
        <v>1</v>
      </c>
      <c r="D426" s="5">
        <v>1</v>
      </c>
      <c r="E426" s="5">
        <v>1</v>
      </c>
      <c r="F426" s="5">
        <v>1</v>
      </c>
      <c r="G426" s="5">
        <v>1</v>
      </c>
      <c r="H426" s="5">
        <v>1</v>
      </c>
      <c r="I426" s="5">
        <v>1</v>
      </c>
      <c r="J426" s="5">
        <v>2</v>
      </c>
      <c r="K426" s="5">
        <v>1</v>
      </c>
      <c r="L426" s="5">
        <v>1</v>
      </c>
      <c r="M426" s="5">
        <v>1</v>
      </c>
      <c r="N426" s="5">
        <v>1</v>
      </c>
      <c r="O426" s="5">
        <v>1</v>
      </c>
      <c r="P426" s="5">
        <v>1</v>
      </c>
      <c r="Q426" s="5">
        <v>1</v>
      </c>
      <c r="R426" s="5">
        <v>1</v>
      </c>
      <c r="S426" s="5" t="s">
        <v>3</v>
      </c>
      <c r="T426" s="5" t="s">
        <v>3</v>
      </c>
      <c r="U426" s="5" t="s">
        <v>3</v>
      </c>
      <c r="V426" s="5" t="s">
        <v>3</v>
      </c>
      <c r="W426" s="5" t="s">
        <v>3</v>
      </c>
      <c r="X426" s="5" t="s">
        <v>3</v>
      </c>
      <c r="Y426" s="5" t="s">
        <v>3</v>
      </c>
      <c r="Z426" s="5" t="s">
        <v>3</v>
      </c>
      <c r="AA426" s="5" t="s">
        <v>3</v>
      </c>
      <c r="AB426" s="5" t="s">
        <v>3</v>
      </c>
      <c r="AC426" s="5" t="s">
        <v>3</v>
      </c>
      <c r="AD426" s="5" t="s">
        <v>3</v>
      </c>
      <c r="AE426" s="5" t="s">
        <v>3</v>
      </c>
      <c r="AF426" s="5" t="s">
        <v>3</v>
      </c>
      <c r="AG426" s="5" t="s">
        <v>3</v>
      </c>
      <c r="AH426" s="5" t="s">
        <v>3</v>
      </c>
    </row>
    <row r="427" spans="1:26" ht="12.75">
      <c r="A427" s="5">
        <v>1</v>
      </c>
      <c r="B427" s="5" t="s">
        <v>458</v>
      </c>
      <c r="C427" s="5" t="s">
        <v>3</v>
      </c>
      <c r="D427" s="5">
        <v>0</v>
      </c>
      <c r="E427" s="5">
        <v>0</v>
      </c>
      <c r="F427" s="5">
        <v>1</v>
      </c>
      <c r="G427" s="5">
        <v>1</v>
      </c>
      <c r="H427" s="5">
        <v>0</v>
      </c>
      <c r="I427" s="5">
        <v>2</v>
      </c>
      <c r="J427" s="5">
        <v>1</v>
      </c>
      <c r="K427" s="5">
        <v>1</v>
      </c>
      <c r="L427" s="5">
        <v>1</v>
      </c>
      <c r="M427" s="5">
        <v>1</v>
      </c>
      <c r="N427" s="5">
        <v>1</v>
      </c>
      <c r="O427" s="5">
        <v>1</v>
      </c>
      <c r="P427" s="5">
        <v>1</v>
      </c>
      <c r="Q427" s="5">
        <v>1</v>
      </c>
      <c r="R427" s="5" t="s">
        <v>3</v>
      </c>
      <c r="S427" s="5" t="s">
        <v>3</v>
      </c>
      <c r="T427" s="5" t="s">
        <v>3</v>
      </c>
      <c r="U427" s="5" t="s">
        <v>3</v>
      </c>
      <c r="V427" s="5" t="s">
        <v>3</v>
      </c>
      <c r="W427" s="5" t="s">
        <v>3</v>
      </c>
      <c r="X427" s="5" t="s">
        <v>3</v>
      </c>
      <c r="Y427" s="5" t="s">
        <v>3</v>
      </c>
      <c r="Z427" s="5" t="s">
        <v>3</v>
      </c>
    </row>
    <row r="428" spans="1:26" ht="12.75">
      <c r="A428" s="5">
        <v>1</v>
      </c>
      <c r="B428" s="5" t="s">
        <v>458</v>
      </c>
      <c r="C428" s="5" t="s">
        <v>3</v>
      </c>
      <c r="D428" s="5">
        <v>0</v>
      </c>
      <c r="E428" s="5">
        <v>0</v>
      </c>
      <c r="F428" s="5">
        <v>1</v>
      </c>
      <c r="G428" s="5">
        <v>1</v>
      </c>
      <c r="H428" s="5">
        <v>0</v>
      </c>
      <c r="I428" s="5">
        <v>2</v>
      </c>
      <c r="J428" s="5">
        <v>1</v>
      </c>
      <c r="K428" s="5">
        <v>1</v>
      </c>
      <c r="L428" s="5">
        <v>1</v>
      </c>
      <c r="M428" s="5">
        <v>1</v>
      </c>
      <c r="N428" s="5">
        <v>1</v>
      </c>
      <c r="O428" s="5">
        <v>1</v>
      </c>
      <c r="P428" s="5">
        <v>1</v>
      </c>
      <c r="Q428" s="5">
        <v>1</v>
      </c>
      <c r="R428" s="5" t="s">
        <v>3</v>
      </c>
      <c r="S428" s="5" t="s">
        <v>3</v>
      </c>
      <c r="T428" s="5" t="s">
        <v>3</v>
      </c>
      <c r="U428" s="5" t="s">
        <v>3</v>
      </c>
      <c r="V428" s="5" t="s">
        <v>3</v>
      </c>
      <c r="W428" s="5" t="s">
        <v>3</v>
      </c>
      <c r="X428" s="5" t="s">
        <v>3</v>
      </c>
      <c r="Y428" s="5" t="s">
        <v>3</v>
      </c>
      <c r="Z428" s="5" t="s">
        <v>3</v>
      </c>
    </row>
    <row r="429" spans="1:34" ht="12.75">
      <c r="A429" s="5">
        <v>3</v>
      </c>
      <c r="B429" s="5" t="s">
        <v>457</v>
      </c>
      <c r="C429" s="5">
        <v>1</v>
      </c>
      <c r="D429" s="5">
        <v>1</v>
      </c>
      <c r="E429" s="5">
        <v>1</v>
      </c>
      <c r="F429" s="5">
        <v>1</v>
      </c>
      <c r="G429" s="5">
        <v>1</v>
      </c>
      <c r="H429" s="5">
        <v>1</v>
      </c>
      <c r="I429" s="5">
        <v>1</v>
      </c>
      <c r="J429" s="5">
        <v>2</v>
      </c>
      <c r="K429" s="5">
        <v>1</v>
      </c>
      <c r="L429" s="5">
        <v>1</v>
      </c>
      <c r="M429" s="5">
        <v>1</v>
      </c>
      <c r="N429" s="5">
        <v>1</v>
      </c>
      <c r="O429" s="5">
        <v>1</v>
      </c>
      <c r="P429" s="5">
        <v>1</v>
      </c>
      <c r="Q429" s="5">
        <v>1</v>
      </c>
      <c r="R429" s="5">
        <v>1</v>
      </c>
      <c r="S429" s="5" t="s">
        <v>3</v>
      </c>
      <c r="T429" s="5" t="s">
        <v>3</v>
      </c>
      <c r="U429" s="5" t="s">
        <v>3</v>
      </c>
      <c r="V429" s="5" t="s">
        <v>3</v>
      </c>
      <c r="W429" s="5" t="s">
        <v>3</v>
      </c>
      <c r="X429" s="5" t="s">
        <v>3</v>
      </c>
      <c r="Y429" s="5" t="s">
        <v>3</v>
      </c>
      <c r="Z429" s="5" t="s">
        <v>3</v>
      </c>
      <c r="AA429" s="5" t="s">
        <v>3</v>
      </c>
      <c r="AB429" s="5" t="s">
        <v>3</v>
      </c>
      <c r="AC429" s="5" t="s">
        <v>3</v>
      </c>
      <c r="AD429" s="5" t="s">
        <v>3</v>
      </c>
      <c r="AE429" s="5" t="s">
        <v>3</v>
      </c>
      <c r="AF429" s="5" t="s">
        <v>3</v>
      </c>
      <c r="AG429" s="5" t="s">
        <v>3</v>
      </c>
      <c r="AH429" s="5" t="s">
        <v>3</v>
      </c>
    </row>
    <row r="433" spans="1:5" ht="12.75">
      <c r="A433">
        <v>65</v>
      </c>
      <c r="C433">
        <v>1</v>
      </c>
      <c r="D433">
        <v>0</v>
      </c>
      <c r="E433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5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459</v>
      </c>
      <c r="F1">
        <v>0</v>
      </c>
      <c r="G1">
        <v>0</v>
      </c>
      <c r="H1">
        <v>0</v>
      </c>
      <c r="I1" t="s">
        <v>2</v>
      </c>
      <c r="K1">
        <v>0</v>
      </c>
      <c r="L1">
        <v>32116</v>
      </c>
      <c r="M1">
        <v>10</v>
      </c>
    </row>
    <row r="9" spans="1:31" ht="12.75">
      <c r="A9" s="1">
        <v>4</v>
      </c>
      <c r="B9" s="1">
        <v>1</v>
      </c>
      <c r="C9" s="1">
        <v>-1</v>
      </c>
      <c r="D9" s="1"/>
      <c r="E9" s="1"/>
      <c r="F9" s="1" t="s">
        <v>4</v>
      </c>
      <c r="G9" s="1" t="s">
        <v>4</v>
      </c>
      <c r="H9" s="1" t="s">
        <v>3</v>
      </c>
      <c r="I9" s="1" t="s">
        <v>3</v>
      </c>
      <c r="J9" s="1" t="s">
        <v>3</v>
      </c>
      <c r="K9" s="1" t="s">
        <v>3</v>
      </c>
      <c r="L9" s="1" t="s">
        <v>3</v>
      </c>
      <c r="M9" s="1" t="s">
        <v>3</v>
      </c>
      <c r="N9" s="1" t="s">
        <v>3</v>
      </c>
      <c r="O9" s="1" t="s">
        <v>3</v>
      </c>
      <c r="P9" s="1">
        <v>0</v>
      </c>
      <c r="Q9" s="1" t="s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>
        <v>0</v>
      </c>
    </row>
    <row r="12" spans="1:133" ht="12.75">
      <c r="A12" s="1">
        <v>1</v>
      </c>
      <c r="B12" s="1">
        <v>52</v>
      </c>
      <c r="C12" s="1">
        <v>0</v>
      </c>
      <c r="D12" s="1"/>
      <c r="E12" s="1">
        <v>0</v>
      </c>
      <c r="F12" s="1" t="s">
        <v>5</v>
      </c>
      <c r="G12" s="1" t="s">
        <v>6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7</v>
      </c>
      <c r="AI12" s="1" t="s">
        <v>8</v>
      </c>
      <c r="AJ12" s="1" t="s">
        <v>9</v>
      </c>
      <c r="AK12" s="1"/>
      <c r="AL12" s="1" t="s">
        <v>10</v>
      </c>
      <c r="AM12" s="1" t="s">
        <v>11</v>
      </c>
      <c r="AN12" s="1" t="s">
        <v>12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1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15</v>
      </c>
      <c r="CB12" s="1" t="s">
        <v>15</v>
      </c>
      <c r="CC12" s="1" t="s">
        <v>15</v>
      </c>
      <c r="CD12" s="1" t="s">
        <v>15</v>
      </c>
      <c r="CE12" s="1" t="s">
        <v>17</v>
      </c>
      <c r="CF12" s="1">
        <v>0</v>
      </c>
      <c r="CG12" s="1">
        <v>0</v>
      </c>
      <c r="CH12" s="1">
        <v>262152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42253831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63" ht="12.75">
      <c r="A16" s="6">
        <v>3</v>
      </c>
      <c r="B16" s="6">
        <v>1</v>
      </c>
      <c r="C16" s="6" t="s">
        <v>18</v>
      </c>
      <c r="D16" s="6" t="s">
        <v>18</v>
      </c>
      <c r="E16" s="7">
        <f>(Source!F352)/1000</f>
        <v>450.9372</v>
      </c>
      <c r="F16" s="7">
        <f>(Source!F353)/1000</f>
        <v>77.3667</v>
      </c>
      <c r="G16" s="7">
        <f>(Source!F344)/1000</f>
        <v>2444.5017000000003</v>
      </c>
      <c r="H16" s="7">
        <f>(Source!F354)/1000+(Source!F355)/1000</f>
        <v>134.30829999999997</v>
      </c>
      <c r="I16" s="7">
        <f>E16+F16+G16+H16</f>
        <v>3107.1139000000003</v>
      </c>
      <c r="J16" s="7">
        <f>(Source!F350)/1000</f>
        <v>163.85129999999998</v>
      </c>
      <c r="AI16" s="6">
        <v>0</v>
      </c>
      <c r="AJ16" s="6">
        <v>0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2899597.5</v>
      </c>
      <c r="AU16" s="7">
        <v>2675611.6</v>
      </c>
      <c r="AV16" s="7">
        <v>0</v>
      </c>
      <c r="AW16" s="7">
        <v>2444501.7</v>
      </c>
      <c r="AX16" s="7">
        <v>0</v>
      </c>
      <c r="AY16" s="7">
        <v>60134.6</v>
      </c>
      <c r="AZ16" s="7">
        <v>15306.7</v>
      </c>
      <c r="BA16" s="7">
        <v>163851.3</v>
      </c>
      <c r="BB16" s="7">
        <v>463701.4</v>
      </c>
      <c r="BC16" s="7">
        <v>77366.7</v>
      </c>
      <c r="BD16" s="7">
        <v>134308.3</v>
      </c>
      <c r="BE16" s="7">
        <v>0</v>
      </c>
      <c r="BF16" s="7">
        <v>803.6263416</v>
      </c>
      <c r="BG16" s="7">
        <v>60.31876840000001</v>
      </c>
      <c r="BH16" s="7">
        <v>0</v>
      </c>
      <c r="BI16" s="7">
        <v>138539.9</v>
      </c>
      <c r="BJ16" s="7">
        <v>81740.7</v>
      </c>
      <c r="BK16" s="7">
        <v>3119878.1</v>
      </c>
    </row>
    <row r="18" spans="1:19" ht="12.75">
      <c r="A18">
        <v>51</v>
      </c>
      <c r="E18" s="8">
        <f>SUMIF(A16:A17,3,E16:E17)</f>
        <v>450.9372</v>
      </c>
      <c r="F18" s="8">
        <f>SUMIF(A16:A17,3,F16:F17)</f>
        <v>77.3667</v>
      </c>
      <c r="G18" s="8">
        <f>SUMIF(A16:A17,3,G16:G17)</f>
        <v>2444.5017000000003</v>
      </c>
      <c r="H18" s="8">
        <f>SUMIF(A16:A17,3,H16:H17)</f>
        <v>134.30829999999997</v>
      </c>
      <c r="I18" s="8">
        <f>SUMIF(A16:A17,3,I16:I17)</f>
        <v>3107.1139000000003</v>
      </c>
      <c r="J18" s="8">
        <f>SUMIF(A16:A17,3,J16:J17)</f>
        <v>163.85129999999998</v>
      </c>
      <c r="K18" s="8"/>
      <c r="L18" s="8"/>
      <c r="M18" s="8"/>
      <c r="N18" s="8"/>
      <c r="O18" s="8"/>
      <c r="P18" s="8"/>
      <c r="Q18" s="8"/>
      <c r="R18" s="8"/>
      <c r="S18" s="8"/>
    </row>
    <row r="20" spans="1:16" ht="12.75">
      <c r="A20" s="4">
        <v>50</v>
      </c>
      <c r="B20" s="4">
        <v>1</v>
      </c>
      <c r="C20" s="4">
        <v>0</v>
      </c>
      <c r="D20" s="4">
        <v>1</v>
      </c>
      <c r="E20" s="4">
        <v>201</v>
      </c>
      <c r="F20" s="4">
        <v>2899597.5</v>
      </c>
      <c r="G20" s="4" t="s">
        <v>50</v>
      </c>
      <c r="H20" s="4" t="s">
        <v>51</v>
      </c>
      <c r="I20" s="4"/>
      <c r="J20" s="4"/>
      <c r="K20" s="4">
        <v>201</v>
      </c>
      <c r="L20" s="4">
        <v>1</v>
      </c>
      <c r="M20" s="4">
        <v>0</v>
      </c>
      <c r="N20" s="4" t="s">
        <v>3</v>
      </c>
      <c r="O20" s="4">
        <v>1</v>
      </c>
      <c r="P20" s="4"/>
    </row>
    <row r="21" spans="1:16" ht="12.75">
      <c r="A21" s="4">
        <v>50</v>
      </c>
      <c r="B21" s="4">
        <v>1</v>
      </c>
      <c r="C21" s="4">
        <v>0</v>
      </c>
      <c r="D21" s="4">
        <v>1</v>
      </c>
      <c r="E21" s="4">
        <v>202</v>
      </c>
      <c r="F21" s="4">
        <v>2675611.6</v>
      </c>
      <c r="G21" s="4" t="s">
        <v>52</v>
      </c>
      <c r="H21" s="4" t="s">
        <v>53</v>
      </c>
      <c r="I21" s="4"/>
      <c r="J21" s="4"/>
      <c r="K21" s="4">
        <v>202</v>
      </c>
      <c r="L21" s="4">
        <v>2</v>
      </c>
      <c r="M21" s="4">
        <v>0</v>
      </c>
      <c r="N21" s="4" t="s">
        <v>3</v>
      </c>
      <c r="O21" s="4">
        <v>1</v>
      </c>
      <c r="P21" s="4"/>
    </row>
    <row r="22" spans="1:16" ht="12.75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54</v>
      </c>
      <c r="H22" s="4" t="s">
        <v>55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1</v>
      </c>
      <c r="P22" s="4"/>
    </row>
    <row r="23" spans="1:16" ht="12.75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2675611.6</v>
      </c>
      <c r="G23" s="4" t="s">
        <v>56</v>
      </c>
      <c r="H23" s="4" t="s">
        <v>57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1</v>
      </c>
      <c r="P23" s="4"/>
    </row>
    <row r="24" spans="1:16" ht="12.75">
      <c r="A24" s="4">
        <v>50</v>
      </c>
      <c r="B24" s="4">
        <v>1</v>
      </c>
      <c r="C24" s="4">
        <v>0</v>
      </c>
      <c r="D24" s="4">
        <v>1</v>
      </c>
      <c r="E24" s="4">
        <v>226</v>
      </c>
      <c r="F24" s="4">
        <v>231109.9</v>
      </c>
      <c r="G24" s="4" t="s">
        <v>58</v>
      </c>
      <c r="H24" s="4" t="s">
        <v>59</v>
      </c>
      <c r="I24" s="4"/>
      <c r="J24" s="4"/>
      <c r="K24" s="4">
        <v>226</v>
      </c>
      <c r="L24" s="4">
        <v>5</v>
      </c>
      <c r="M24" s="4">
        <v>0</v>
      </c>
      <c r="N24" s="4" t="s">
        <v>3</v>
      </c>
      <c r="O24" s="4">
        <v>1</v>
      </c>
      <c r="P24" s="4"/>
    </row>
    <row r="25" spans="1:16" ht="12.75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60</v>
      </c>
      <c r="H25" s="4" t="s">
        <v>61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1</v>
      </c>
      <c r="P25" s="4"/>
    </row>
    <row r="26" spans="1:16" ht="12.75">
      <c r="A26" s="4">
        <v>50</v>
      </c>
      <c r="B26" s="4">
        <v>1</v>
      </c>
      <c r="C26" s="4">
        <v>0</v>
      </c>
      <c r="D26" s="4">
        <v>1</v>
      </c>
      <c r="E26" s="4">
        <v>228</v>
      </c>
      <c r="F26" s="4">
        <v>231109.9</v>
      </c>
      <c r="G26" s="4" t="s">
        <v>62</v>
      </c>
      <c r="H26" s="4" t="s">
        <v>63</v>
      </c>
      <c r="I26" s="4"/>
      <c r="J26" s="4"/>
      <c r="K26" s="4">
        <v>228</v>
      </c>
      <c r="L26" s="4">
        <v>7</v>
      </c>
      <c r="M26" s="4">
        <v>0</v>
      </c>
      <c r="N26" s="4" t="s">
        <v>3</v>
      </c>
      <c r="O26" s="4">
        <v>1</v>
      </c>
      <c r="P26" s="4"/>
    </row>
    <row r="27" spans="1:16" ht="12.75">
      <c r="A27" s="4">
        <v>50</v>
      </c>
      <c r="B27" s="4">
        <v>1</v>
      </c>
      <c r="C27" s="4">
        <v>0</v>
      </c>
      <c r="D27" s="4">
        <v>1</v>
      </c>
      <c r="E27" s="4">
        <v>216</v>
      </c>
      <c r="F27" s="4">
        <v>2444501.7</v>
      </c>
      <c r="G27" s="4" t="s">
        <v>64</v>
      </c>
      <c r="H27" s="4" t="s">
        <v>65</v>
      </c>
      <c r="I27" s="4"/>
      <c r="J27" s="4"/>
      <c r="K27" s="4">
        <v>216</v>
      </c>
      <c r="L27" s="4">
        <v>8</v>
      </c>
      <c r="M27" s="4">
        <v>0</v>
      </c>
      <c r="N27" s="4" t="s">
        <v>3</v>
      </c>
      <c r="O27" s="4">
        <v>1</v>
      </c>
      <c r="P27" s="4"/>
    </row>
    <row r="28" spans="1:16" ht="12.75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66</v>
      </c>
      <c r="H28" s="4" t="s">
        <v>67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1</v>
      </c>
      <c r="P28" s="4"/>
    </row>
    <row r="29" spans="1:16" ht="12.75">
      <c r="A29" s="4">
        <v>50</v>
      </c>
      <c r="B29" s="4">
        <v>1</v>
      </c>
      <c r="C29" s="4">
        <v>0</v>
      </c>
      <c r="D29" s="4">
        <v>1</v>
      </c>
      <c r="E29" s="4">
        <v>229</v>
      </c>
      <c r="F29" s="4">
        <v>2444501.7</v>
      </c>
      <c r="G29" s="4" t="s">
        <v>68</v>
      </c>
      <c r="H29" s="4" t="s">
        <v>69</v>
      </c>
      <c r="I29" s="4"/>
      <c r="J29" s="4"/>
      <c r="K29" s="4">
        <v>229</v>
      </c>
      <c r="L29" s="4">
        <v>10</v>
      </c>
      <c r="M29" s="4">
        <v>0</v>
      </c>
      <c r="N29" s="4" t="s">
        <v>3</v>
      </c>
      <c r="O29" s="4">
        <v>1</v>
      </c>
      <c r="P29" s="4"/>
    </row>
    <row r="30" spans="1:16" ht="12.75">
      <c r="A30" s="4">
        <v>50</v>
      </c>
      <c r="B30" s="4">
        <v>1</v>
      </c>
      <c r="C30" s="4">
        <v>0</v>
      </c>
      <c r="D30" s="4">
        <v>1</v>
      </c>
      <c r="E30" s="4">
        <v>203</v>
      </c>
      <c r="F30" s="4">
        <v>60134.6</v>
      </c>
      <c r="G30" s="4" t="s">
        <v>70</v>
      </c>
      <c r="H30" s="4" t="s">
        <v>71</v>
      </c>
      <c r="I30" s="4"/>
      <c r="J30" s="4"/>
      <c r="K30" s="4">
        <v>203</v>
      </c>
      <c r="L30" s="4">
        <v>11</v>
      </c>
      <c r="M30" s="4">
        <v>0</v>
      </c>
      <c r="N30" s="4" t="s">
        <v>3</v>
      </c>
      <c r="O30" s="4">
        <v>1</v>
      </c>
      <c r="P30" s="4"/>
    </row>
    <row r="31" spans="1:16" ht="12.75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72</v>
      </c>
      <c r="H31" s="4" t="s">
        <v>73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1</v>
      </c>
      <c r="P31" s="4"/>
    </row>
    <row r="32" spans="1:16" ht="12.75">
      <c r="A32" s="4">
        <v>50</v>
      </c>
      <c r="B32" s="4">
        <v>1</v>
      </c>
      <c r="C32" s="4">
        <v>0</v>
      </c>
      <c r="D32" s="4">
        <v>1</v>
      </c>
      <c r="E32" s="4">
        <v>204</v>
      </c>
      <c r="F32" s="4">
        <v>15306.7</v>
      </c>
      <c r="G32" s="4" t="s">
        <v>74</v>
      </c>
      <c r="H32" s="4" t="s">
        <v>75</v>
      </c>
      <c r="I32" s="4"/>
      <c r="J32" s="4"/>
      <c r="K32" s="4">
        <v>204</v>
      </c>
      <c r="L32" s="4">
        <v>13</v>
      </c>
      <c r="M32" s="4">
        <v>0</v>
      </c>
      <c r="N32" s="4" t="s">
        <v>3</v>
      </c>
      <c r="O32" s="4">
        <v>1</v>
      </c>
      <c r="P32" s="4"/>
    </row>
    <row r="33" spans="1:16" ht="12.75">
      <c r="A33" s="4">
        <v>50</v>
      </c>
      <c r="B33" s="4">
        <v>1</v>
      </c>
      <c r="C33" s="4">
        <v>0</v>
      </c>
      <c r="D33" s="4">
        <v>1</v>
      </c>
      <c r="E33" s="4">
        <v>205</v>
      </c>
      <c r="F33" s="4">
        <v>163851.3</v>
      </c>
      <c r="G33" s="4" t="s">
        <v>76</v>
      </c>
      <c r="H33" s="4" t="s">
        <v>77</v>
      </c>
      <c r="I33" s="4"/>
      <c r="J33" s="4"/>
      <c r="K33" s="4">
        <v>205</v>
      </c>
      <c r="L33" s="4">
        <v>14</v>
      </c>
      <c r="M33" s="4">
        <v>0</v>
      </c>
      <c r="N33" s="4" t="s">
        <v>3</v>
      </c>
      <c r="O33" s="4">
        <v>1</v>
      </c>
      <c r="P33" s="4"/>
    </row>
    <row r="34" spans="1:16" ht="12.75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78</v>
      </c>
      <c r="H34" s="4" t="s">
        <v>79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1</v>
      </c>
      <c r="P34" s="4"/>
    </row>
    <row r="35" spans="1:16" ht="12.75">
      <c r="A35" s="4">
        <v>50</v>
      </c>
      <c r="B35" s="4">
        <v>1</v>
      </c>
      <c r="C35" s="4">
        <v>0</v>
      </c>
      <c r="D35" s="4">
        <v>1</v>
      </c>
      <c r="E35" s="4">
        <v>214</v>
      </c>
      <c r="F35" s="4">
        <v>463701.4</v>
      </c>
      <c r="G35" s="4" t="s">
        <v>80</v>
      </c>
      <c r="H35" s="4" t="s">
        <v>81</v>
      </c>
      <c r="I35" s="4"/>
      <c r="J35" s="4"/>
      <c r="K35" s="4">
        <v>214</v>
      </c>
      <c r="L35" s="4">
        <v>16</v>
      </c>
      <c r="M35" s="4">
        <v>0</v>
      </c>
      <c r="N35" s="4" t="s">
        <v>3</v>
      </c>
      <c r="O35" s="4">
        <v>1</v>
      </c>
      <c r="P35" s="4"/>
    </row>
    <row r="36" spans="1:16" ht="12.75">
      <c r="A36" s="4">
        <v>50</v>
      </c>
      <c r="B36" s="4">
        <v>1</v>
      </c>
      <c r="C36" s="4">
        <v>0</v>
      </c>
      <c r="D36" s="4">
        <v>1</v>
      </c>
      <c r="E36" s="4">
        <v>215</v>
      </c>
      <c r="F36" s="4">
        <v>77366.7</v>
      </c>
      <c r="G36" s="4" t="s">
        <v>82</v>
      </c>
      <c r="H36" s="4" t="s">
        <v>83</v>
      </c>
      <c r="I36" s="4"/>
      <c r="J36" s="4"/>
      <c r="K36" s="4">
        <v>215</v>
      </c>
      <c r="L36" s="4">
        <v>17</v>
      </c>
      <c r="M36" s="4">
        <v>0</v>
      </c>
      <c r="N36" s="4" t="s">
        <v>3</v>
      </c>
      <c r="O36" s="4">
        <v>1</v>
      </c>
      <c r="P36" s="4"/>
    </row>
    <row r="37" spans="1:16" ht="12.75">
      <c r="A37" s="4">
        <v>50</v>
      </c>
      <c r="B37" s="4">
        <v>1</v>
      </c>
      <c r="C37" s="4">
        <v>0</v>
      </c>
      <c r="D37" s="4">
        <v>1</v>
      </c>
      <c r="E37" s="4">
        <v>0</v>
      </c>
      <c r="F37" s="4">
        <v>134308.3</v>
      </c>
      <c r="G37" s="4" t="s">
        <v>84</v>
      </c>
      <c r="H37" s="4" t="s">
        <v>85</v>
      </c>
      <c r="I37" s="4"/>
      <c r="J37" s="4"/>
      <c r="K37" s="4">
        <v>217</v>
      </c>
      <c r="L37" s="4">
        <v>18</v>
      </c>
      <c r="M37" s="4">
        <v>0</v>
      </c>
      <c r="N37" s="4" t="s">
        <v>3</v>
      </c>
      <c r="O37" s="4">
        <v>1</v>
      </c>
      <c r="P37" s="4"/>
    </row>
    <row r="38" spans="1:16" ht="12.75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86</v>
      </c>
      <c r="H38" s="4" t="s">
        <v>87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1</v>
      </c>
      <c r="P38" s="4"/>
    </row>
    <row r="39" spans="1:16" ht="12.75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88</v>
      </c>
      <c r="H39" s="4" t="s">
        <v>89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1</v>
      </c>
      <c r="P39" s="4"/>
    </row>
    <row r="40" spans="1:16" ht="12.75">
      <c r="A40" s="4">
        <v>50</v>
      </c>
      <c r="B40" s="4">
        <v>1</v>
      </c>
      <c r="C40" s="4">
        <v>0</v>
      </c>
      <c r="D40" s="4">
        <v>1</v>
      </c>
      <c r="E40" s="4">
        <v>207</v>
      </c>
      <c r="F40" s="4">
        <v>803.6263416</v>
      </c>
      <c r="G40" s="4" t="s">
        <v>90</v>
      </c>
      <c r="H40" s="4" t="s">
        <v>91</v>
      </c>
      <c r="I40" s="4"/>
      <c r="J40" s="4"/>
      <c r="K40" s="4">
        <v>207</v>
      </c>
      <c r="L40" s="4">
        <v>21</v>
      </c>
      <c r="M40" s="4">
        <v>0</v>
      </c>
      <c r="N40" s="4" t="s">
        <v>3</v>
      </c>
      <c r="O40" s="4">
        <v>-1</v>
      </c>
      <c r="P40" s="4"/>
    </row>
    <row r="41" spans="1:16" ht="12.75">
      <c r="A41" s="4">
        <v>50</v>
      </c>
      <c r="B41" s="4">
        <v>1</v>
      </c>
      <c r="C41" s="4">
        <v>0</v>
      </c>
      <c r="D41" s="4">
        <v>1</v>
      </c>
      <c r="E41" s="4">
        <v>208</v>
      </c>
      <c r="F41" s="4">
        <v>60.31876840000001</v>
      </c>
      <c r="G41" s="4" t="s">
        <v>92</v>
      </c>
      <c r="H41" s="4" t="s">
        <v>93</v>
      </c>
      <c r="I41" s="4"/>
      <c r="J41" s="4"/>
      <c r="K41" s="4">
        <v>208</v>
      </c>
      <c r="L41" s="4">
        <v>22</v>
      </c>
      <c r="M41" s="4">
        <v>0</v>
      </c>
      <c r="N41" s="4" t="s">
        <v>3</v>
      </c>
      <c r="O41" s="4">
        <v>-1</v>
      </c>
      <c r="P41" s="4"/>
    </row>
    <row r="42" spans="1:16" ht="12.75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94</v>
      </c>
      <c r="H42" s="4" t="s">
        <v>95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1</v>
      </c>
      <c r="P42" s="4"/>
    </row>
    <row r="43" spans="1:16" ht="12.75">
      <c r="A43" s="4">
        <v>50</v>
      </c>
      <c r="B43" s="4">
        <v>1</v>
      </c>
      <c r="C43" s="4">
        <v>0</v>
      </c>
      <c r="D43" s="4">
        <v>1</v>
      </c>
      <c r="E43" s="4">
        <v>210</v>
      </c>
      <c r="F43" s="4">
        <v>138539.9</v>
      </c>
      <c r="G43" s="4" t="s">
        <v>96</v>
      </c>
      <c r="H43" s="4" t="s">
        <v>97</v>
      </c>
      <c r="I43" s="4"/>
      <c r="J43" s="4"/>
      <c r="K43" s="4">
        <v>210</v>
      </c>
      <c r="L43" s="4">
        <v>24</v>
      </c>
      <c r="M43" s="4">
        <v>0</v>
      </c>
      <c r="N43" s="4" t="s">
        <v>3</v>
      </c>
      <c r="O43" s="4">
        <v>1</v>
      </c>
      <c r="P43" s="4"/>
    </row>
    <row r="44" spans="1:16" ht="12.75">
      <c r="A44" s="4">
        <v>50</v>
      </c>
      <c r="B44" s="4">
        <v>1</v>
      </c>
      <c r="C44" s="4">
        <v>0</v>
      </c>
      <c r="D44" s="4">
        <v>1</v>
      </c>
      <c r="E44" s="4">
        <v>211</v>
      </c>
      <c r="F44" s="4">
        <v>81740.7</v>
      </c>
      <c r="G44" s="4" t="s">
        <v>98</v>
      </c>
      <c r="H44" s="4" t="s">
        <v>99</v>
      </c>
      <c r="I44" s="4"/>
      <c r="J44" s="4"/>
      <c r="K44" s="4">
        <v>211</v>
      </c>
      <c r="L44" s="4">
        <v>25</v>
      </c>
      <c r="M44" s="4">
        <v>0</v>
      </c>
      <c r="N44" s="4" t="s">
        <v>3</v>
      </c>
      <c r="O44" s="4">
        <v>1</v>
      </c>
      <c r="P44" s="4"/>
    </row>
    <row r="45" spans="1:16" ht="12.75">
      <c r="A45" s="4">
        <v>50</v>
      </c>
      <c r="B45" s="4">
        <v>1</v>
      </c>
      <c r="C45" s="4">
        <v>0</v>
      </c>
      <c r="D45" s="4">
        <v>1</v>
      </c>
      <c r="E45" s="4">
        <v>213</v>
      </c>
      <c r="F45" s="4">
        <v>3119878.1</v>
      </c>
      <c r="G45" s="4" t="s">
        <v>100</v>
      </c>
      <c r="H45" s="4" t="s">
        <v>101</v>
      </c>
      <c r="I45" s="4"/>
      <c r="J45" s="4"/>
      <c r="K45" s="4">
        <v>224</v>
      </c>
      <c r="L45" s="4">
        <v>26</v>
      </c>
      <c r="M45" s="4">
        <v>0</v>
      </c>
      <c r="N45" s="4" t="s">
        <v>3</v>
      </c>
      <c r="O45" s="4">
        <v>1</v>
      </c>
      <c r="P45" s="4"/>
    </row>
    <row r="46" spans="1:16" ht="12.75">
      <c r="A46" s="4">
        <v>50</v>
      </c>
      <c r="B46" s="4">
        <v>1</v>
      </c>
      <c r="C46" s="4">
        <v>0</v>
      </c>
      <c r="D46" s="4">
        <v>2</v>
      </c>
      <c r="E46" s="4">
        <v>217</v>
      </c>
      <c r="F46" s="4">
        <v>561578.058</v>
      </c>
      <c r="G46" s="4" t="s">
        <v>392</v>
      </c>
      <c r="H46" s="4" t="s">
        <v>393</v>
      </c>
      <c r="I46" s="4"/>
      <c r="J46" s="4"/>
      <c r="K46" s="4">
        <v>212</v>
      </c>
      <c r="L46" s="4">
        <v>27</v>
      </c>
      <c r="M46" s="4">
        <v>0</v>
      </c>
      <c r="N46" s="4" t="s">
        <v>3</v>
      </c>
      <c r="O46" s="4">
        <v>-1</v>
      </c>
      <c r="P46" s="4"/>
    </row>
    <row r="47" spans="1:16" ht="12.75">
      <c r="A47" s="4">
        <v>50</v>
      </c>
      <c r="B47" s="4">
        <v>1</v>
      </c>
      <c r="C47" s="4">
        <v>0</v>
      </c>
      <c r="D47" s="4">
        <v>2</v>
      </c>
      <c r="E47" s="4">
        <v>224</v>
      </c>
      <c r="F47" s="4">
        <v>3681456</v>
      </c>
      <c r="G47" s="4" t="s">
        <v>394</v>
      </c>
      <c r="H47" s="4" t="s">
        <v>395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0</v>
      </c>
      <c r="P47" s="4"/>
    </row>
    <row r="49" ht="12.75">
      <c r="A49">
        <v>-1</v>
      </c>
    </row>
    <row r="52" spans="1:15" ht="12.75">
      <c r="A52" s="3">
        <v>75</v>
      </c>
      <c r="B52" s="3" t="s">
        <v>3</v>
      </c>
      <c r="C52" s="3">
        <v>2017</v>
      </c>
      <c r="D52" s="3">
        <v>0</v>
      </c>
      <c r="E52" s="3">
        <v>10</v>
      </c>
      <c r="F52" s="3">
        <v>0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42253831</v>
      </c>
      <c r="O52" s="3">
        <v>1</v>
      </c>
    </row>
    <row r="53" spans="1:34" ht="12.75">
      <c r="A53" s="5">
        <v>3</v>
      </c>
      <c r="B53" s="5" t="s">
        <v>457</v>
      </c>
      <c r="C53" s="5">
        <v>7.76</v>
      </c>
      <c r="D53" s="5">
        <v>5.66</v>
      </c>
      <c r="E53" s="5">
        <v>7.11</v>
      </c>
      <c r="F53" s="5">
        <v>19.96</v>
      </c>
      <c r="G53" s="5">
        <v>19.96</v>
      </c>
      <c r="H53" s="5">
        <v>3.93</v>
      </c>
      <c r="I53" s="5">
        <v>19.96</v>
      </c>
      <c r="J53" s="5">
        <v>2</v>
      </c>
      <c r="K53" s="5">
        <v>19.96</v>
      </c>
      <c r="L53" s="5">
        <v>5.55</v>
      </c>
      <c r="M53" s="5">
        <v>7.76</v>
      </c>
      <c r="N53" s="5">
        <v>5.66</v>
      </c>
      <c r="O53" s="5">
        <v>3.93</v>
      </c>
      <c r="P53" s="5">
        <v>19.96</v>
      </c>
      <c r="Q53" s="5">
        <v>19.96</v>
      </c>
      <c r="R53" s="5">
        <v>5.55</v>
      </c>
      <c r="S53" s="5" t="s">
        <v>27</v>
      </c>
      <c r="T53" s="5" t="s">
        <v>3</v>
      </c>
      <c r="U53" s="5" t="s">
        <v>3</v>
      </c>
      <c r="V53" s="5" t="s">
        <v>3</v>
      </c>
      <c r="W53" s="5" t="s">
        <v>3</v>
      </c>
      <c r="X53" s="5" t="s">
        <v>3</v>
      </c>
      <c r="Y53" s="5" t="s">
        <v>3</v>
      </c>
      <c r="Z53" s="5" t="s">
        <v>3</v>
      </c>
      <c r="AA53" s="5" t="s">
        <v>3</v>
      </c>
      <c r="AB53" s="5" t="s">
        <v>3</v>
      </c>
      <c r="AC53" s="5" t="s">
        <v>3</v>
      </c>
      <c r="AD53" s="5" t="s">
        <v>3</v>
      </c>
      <c r="AE53" s="5" t="s">
        <v>3</v>
      </c>
      <c r="AF53" s="5" t="s">
        <v>3</v>
      </c>
      <c r="AG53" s="5" t="s">
        <v>3</v>
      </c>
      <c r="AH53" s="5" t="s">
        <v>3</v>
      </c>
    </row>
    <row r="54" spans="1:34" ht="12.75">
      <c r="A54" s="5">
        <v>3</v>
      </c>
      <c r="B54" s="5" t="s">
        <v>457</v>
      </c>
      <c r="C54" s="5">
        <v>1</v>
      </c>
      <c r="D54" s="5">
        <v>1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>
        <v>2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>
        <v>1</v>
      </c>
      <c r="S54" s="5" t="s">
        <v>3</v>
      </c>
      <c r="T54" s="5" t="s">
        <v>3</v>
      </c>
      <c r="U54" s="5" t="s">
        <v>3</v>
      </c>
      <c r="V54" s="5" t="s">
        <v>3</v>
      </c>
      <c r="W54" s="5" t="s">
        <v>3</v>
      </c>
      <c r="X54" s="5" t="s">
        <v>3</v>
      </c>
      <c r="Y54" s="5" t="s">
        <v>3</v>
      </c>
      <c r="Z54" s="5" t="s">
        <v>3</v>
      </c>
      <c r="AA54" s="5" t="s">
        <v>3</v>
      </c>
      <c r="AB54" s="5" t="s">
        <v>3</v>
      </c>
      <c r="AC54" s="5" t="s">
        <v>3</v>
      </c>
      <c r="AD54" s="5" t="s">
        <v>3</v>
      </c>
      <c r="AE54" s="5" t="s">
        <v>3</v>
      </c>
      <c r="AF54" s="5" t="s">
        <v>3</v>
      </c>
      <c r="AG54" s="5" t="s">
        <v>3</v>
      </c>
      <c r="AH54" s="5" t="s">
        <v>3</v>
      </c>
    </row>
    <row r="55" spans="1:26" ht="12.75">
      <c r="A55" s="5">
        <v>1</v>
      </c>
      <c r="B55" s="5" t="s">
        <v>458</v>
      </c>
      <c r="C55" s="5" t="s">
        <v>3</v>
      </c>
      <c r="D55" s="5">
        <v>0</v>
      </c>
      <c r="E55" s="5">
        <v>0</v>
      </c>
      <c r="F55" s="5">
        <v>1</v>
      </c>
      <c r="G55" s="5">
        <v>1</v>
      </c>
      <c r="H55" s="5">
        <v>0</v>
      </c>
      <c r="I55" s="5">
        <v>2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 t="s">
        <v>3</v>
      </c>
      <c r="S55" s="5" t="s">
        <v>3</v>
      </c>
      <c r="T55" s="5" t="s">
        <v>3</v>
      </c>
      <c r="U55" s="5" t="s">
        <v>3</v>
      </c>
      <c r="V55" s="5" t="s">
        <v>3</v>
      </c>
      <c r="W55" s="5" t="s">
        <v>3</v>
      </c>
      <c r="X55" s="5" t="s">
        <v>3</v>
      </c>
      <c r="Y55" s="5" t="s">
        <v>3</v>
      </c>
      <c r="Z55" s="5" t="s">
        <v>3</v>
      </c>
    </row>
    <row r="56" spans="1:26" ht="12.75">
      <c r="A56" s="5">
        <v>1</v>
      </c>
      <c r="B56" s="5" t="s">
        <v>458</v>
      </c>
      <c r="C56" s="5" t="s">
        <v>3</v>
      </c>
      <c r="D56" s="5">
        <v>0</v>
      </c>
      <c r="E56" s="5">
        <v>0</v>
      </c>
      <c r="F56" s="5">
        <v>1</v>
      </c>
      <c r="G56" s="5">
        <v>1</v>
      </c>
      <c r="H56" s="5">
        <v>0</v>
      </c>
      <c r="I56" s="5">
        <v>2</v>
      </c>
      <c r="J56" s="5">
        <v>1</v>
      </c>
      <c r="K56" s="5">
        <v>1</v>
      </c>
      <c r="L56" s="5">
        <v>1</v>
      </c>
      <c r="M56" s="5">
        <v>1</v>
      </c>
      <c r="N56" s="5">
        <v>1</v>
      </c>
      <c r="O56" s="5">
        <v>1</v>
      </c>
      <c r="P56" s="5">
        <v>1</v>
      </c>
      <c r="Q56" s="5">
        <v>1</v>
      </c>
      <c r="R56" s="5" t="s">
        <v>3</v>
      </c>
      <c r="S56" s="5" t="s">
        <v>3</v>
      </c>
      <c r="T56" s="5" t="s">
        <v>3</v>
      </c>
      <c r="U56" s="5" t="s">
        <v>3</v>
      </c>
      <c r="V56" s="5" t="s">
        <v>3</v>
      </c>
      <c r="W56" s="5" t="s">
        <v>3</v>
      </c>
      <c r="X56" s="5" t="s">
        <v>3</v>
      </c>
      <c r="Y56" s="5" t="s">
        <v>3</v>
      </c>
      <c r="Z56" s="5" t="s">
        <v>3</v>
      </c>
    </row>
    <row r="57" spans="1:34" ht="12.75">
      <c r="A57" s="5">
        <v>3</v>
      </c>
      <c r="B57" s="5" t="s">
        <v>457</v>
      </c>
      <c r="C57" s="5">
        <v>1</v>
      </c>
      <c r="D57" s="5">
        <v>1</v>
      </c>
      <c r="E57" s="5">
        <v>1</v>
      </c>
      <c r="F57" s="5">
        <v>1</v>
      </c>
      <c r="G57" s="5">
        <v>1</v>
      </c>
      <c r="H57" s="5">
        <v>1</v>
      </c>
      <c r="I57" s="5">
        <v>1</v>
      </c>
      <c r="J57" s="5">
        <v>2</v>
      </c>
      <c r="K57" s="5">
        <v>1</v>
      </c>
      <c r="L57" s="5">
        <v>1</v>
      </c>
      <c r="M57" s="5">
        <v>1</v>
      </c>
      <c r="N57" s="5">
        <v>1</v>
      </c>
      <c r="O57" s="5">
        <v>1</v>
      </c>
      <c r="P57" s="5">
        <v>1</v>
      </c>
      <c r="Q57" s="5">
        <v>1</v>
      </c>
      <c r="R57" s="5">
        <v>1</v>
      </c>
      <c r="S57" s="5" t="s">
        <v>3</v>
      </c>
      <c r="T57" s="5" t="s">
        <v>3</v>
      </c>
      <c r="U57" s="5" t="s">
        <v>3</v>
      </c>
      <c r="V57" s="5" t="s">
        <v>3</v>
      </c>
      <c r="W57" s="5" t="s">
        <v>3</v>
      </c>
      <c r="X57" s="5" t="s">
        <v>3</v>
      </c>
      <c r="Y57" s="5" t="s">
        <v>3</v>
      </c>
      <c r="Z57" s="5" t="s">
        <v>3</v>
      </c>
      <c r="AA57" s="5" t="s">
        <v>3</v>
      </c>
      <c r="AB57" s="5" t="s">
        <v>3</v>
      </c>
      <c r="AC57" s="5" t="s">
        <v>3</v>
      </c>
      <c r="AD57" s="5" t="s">
        <v>3</v>
      </c>
      <c r="AE57" s="5" t="s">
        <v>3</v>
      </c>
      <c r="AF57" s="5" t="s">
        <v>3</v>
      </c>
      <c r="AG57" s="5" t="s">
        <v>3</v>
      </c>
      <c r="AH57" s="5" t="s">
        <v>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B2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6" ht="12.75">
      <c r="A1">
        <f>ROW(Source!A30)</f>
        <v>30</v>
      </c>
      <c r="B1">
        <v>42253831</v>
      </c>
      <c r="C1">
        <v>42263680</v>
      </c>
      <c r="D1">
        <v>37065248</v>
      </c>
      <c r="E1">
        <v>1</v>
      </c>
      <c r="F1">
        <v>1</v>
      </c>
      <c r="G1">
        <v>1</v>
      </c>
      <c r="H1">
        <v>1</v>
      </c>
      <c r="I1" t="s">
        <v>460</v>
      </c>
      <c r="K1" t="s">
        <v>461</v>
      </c>
      <c r="L1">
        <v>1191</v>
      </c>
      <c r="N1">
        <v>1013</v>
      </c>
      <c r="O1" t="s">
        <v>462</v>
      </c>
      <c r="P1" t="s">
        <v>462</v>
      </c>
      <c r="Q1">
        <v>1</v>
      </c>
      <c r="W1">
        <v>0</v>
      </c>
      <c r="X1">
        <v>-400197608</v>
      </c>
      <c r="Y1">
        <v>4.43</v>
      </c>
      <c r="AA1">
        <v>0</v>
      </c>
      <c r="AB1">
        <v>0</v>
      </c>
      <c r="AC1">
        <v>0</v>
      </c>
      <c r="AD1">
        <v>170.26</v>
      </c>
      <c r="AE1">
        <v>0</v>
      </c>
      <c r="AF1">
        <v>0</v>
      </c>
      <c r="AG1">
        <v>0</v>
      </c>
      <c r="AH1">
        <v>8.53</v>
      </c>
      <c r="AI1">
        <v>1</v>
      </c>
      <c r="AJ1">
        <v>1</v>
      </c>
      <c r="AK1">
        <v>1</v>
      </c>
      <c r="AL1">
        <v>19.96</v>
      </c>
      <c r="AN1">
        <v>0</v>
      </c>
      <c r="AO1">
        <v>1</v>
      </c>
      <c r="AP1">
        <v>0</v>
      </c>
      <c r="AQ1">
        <v>0</v>
      </c>
      <c r="AR1">
        <v>0</v>
      </c>
      <c r="AT1">
        <v>4.43</v>
      </c>
      <c r="AV1">
        <v>1</v>
      </c>
      <c r="AW1">
        <v>2</v>
      </c>
      <c r="AX1">
        <v>42263682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Y1*Source!I30</f>
        <v>4.6514999999999995</v>
      </c>
      <c r="CY1">
        <f>AD1</f>
        <v>170.26</v>
      </c>
      <c r="CZ1">
        <f>AH1</f>
        <v>8.53</v>
      </c>
      <c r="DA1">
        <f>AL1</f>
        <v>19.96</v>
      </c>
      <c r="DB1">
        <v>0</v>
      </c>
    </row>
    <row r="2" spans="1:106" ht="12.75">
      <c r="A2">
        <f>ROW(Source!A67)</f>
        <v>67</v>
      </c>
      <c r="B2">
        <v>42253831</v>
      </c>
      <c r="C2">
        <v>42254895</v>
      </c>
      <c r="D2">
        <v>37064998</v>
      </c>
      <c r="E2">
        <v>1</v>
      </c>
      <c r="F2">
        <v>1</v>
      </c>
      <c r="G2">
        <v>1</v>
      </c>
      <c r="H2">
        <v>1</v>
      </c>
      <c r="I2" t="s">
        <v>463</v>
      </c>
      <c r="K2" t="s">
        <v>464</v>
      </c>
      <c r="L2">
        <v>1191</v>
      </c>
      <c r="N2">
        <v>1013</v>
      </c>
      <c r="O2" t="s">
        <v>462</v>
      </c>
      <c r="P2" t="s">
        <v>462</v>
      </c>
      <c r="Q2">
        <v>1</v>
      </c>
      <c r="W2">
        <v>0</v>
      </c>
      <c r="X2">
        <v>735429535</v>
      </c>
      <c r="Y2">
        <v>15.061200000000001</v>
      </c>
      <c r="AA2">
        <v>0</v>
      </c>
      <c r="AB2">
        <v>0</v>
      </c>
      <c r="AC2">
        <v>0</v>
      </c>
      <c r="AD2">
        <v>155.69</v>
      </c>
      <c r="AE2">
        <v>0</v>
      </c>
      <c r="AF2">
        <v>0</v>
      </c>
      <c r="AG2">
        <v>0</v>
      </c>
      <c r="AH2">
        <v>7.8</v>
      </c>
      <c r="AI2">
        <v>1</v>
      </c>
      <c r="AJ2">
        <v>1</v>
      </c>
      <c r="AK2">
        <v>1</v>
      </c>
      <c r="AL2">
        <v>19.96</v>
      </c>
      <c r="AN2">
        <v>0</v>
      </c>
      <c r="AO2">
        <v>1</v>
      </c>
      <c r="AP2">
        <v>1</v>
      </c>
      <c r="AQ2">
        <v>0</v>
      </c>
      <c r="AR2">
        <v>0</v>
      </c>
      <c r="AT2">
        <v>11.41</v>
      </c>
      <c r="AU2" t="s">
        <v>108</v>
      </c>
      <c r="AV2">
        <v>1</v>
      </c>
      <c r="AW2">
        <v>2</v>
      </c>
      <c r="AX2">
        <v>42254901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Y2*Source!I67</f>
        <v>1.7772216</v>
      </c>
      <c r="CY2">
        <f>AD2</f>
        <v>155.69</v>
      </c>
      <c r="CZ2">
        <f>AH2</f>
        <v>7.8</v>
      </c>
      <c r="DA2">
        <f>AL2</f>
        <v>19.96</v>
      </c>
      <c r="DB2">
        <v>0</v>
      </c>
    </row>
    <row r="3" spans="1:106" ht="12.75">
      <c r="A3">
        <f>ROW(Source!A67)</f>
        <v>67</v>
      </c>
      <c r="B3">
        <v>42253831</v>
      </c>
      <c r="C3">
        <v>42254895</v>
      </c>
      <c r="D3">
        <v>37064876</v>
      </c>
      <c r="E3">
        <v>1</v>
      </c>
      <c r="F3">
        <v>1</v>
      </c>
      <c r="G3">
        <v>1</v>
      </c>
      <c r="H3">
        <v>1</v>
      </c>
      <c r="I3" t="s">
        <v>465</v>
      </c>
      <c r="K3" t="s">
        <v>466</v>
      </c>
      <c r="L3">
        <v>1191</v>
      </c>
      <c r="N3">
        <v>1013</v>
      </c>
      <c r="O3" t="s">
        <v>462</v>
      </c>
      <c r="P3" t="s">
        <v>462</v>
      </c>
      <c r="Q3">
        <v>1</v>
      </c>
      <c r="W3">
        <v>0</v>
      </c>
      <c r="X3">
        <v>-1417349443</v>
      </c>
      <c r="Y3">
        <v>33.09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19.96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T3">
        <v>33.09</v>
      </c>
      <c r="AV3">
        <v>2</v>
      </c>
      <c r="AW3">
        <v>2</v>
      </c>
      <c r="AX3">
        <v>42254902</v>
      </c>
      <c r="AY3">
        <v>1</v>
      </c>
      <c r="AZ3">
        <v>2048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Y3*Source!I67</f>
        <v>3.90462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ht="12.75">
      <c r="A4">
        <f>ROW(Source!A67)</f>
        <v>67</v>
      </c>
      <c r="B4">
        <v>42253831</v>
      </c>
      <c r="C4">
        <v>42254895</v>
      </c>
      <c r="D4">
        <v>36881356</v>
      </c>
      <c r="E4">
        <v>1</v>
      </c>
      <c r="F4">
        <v>1</v>
      </c>
      <c r="G4">
        <v>1</v>
      </c>
      <c r="H4">
        <v>2</v>
      </c>
      <c r="I4" t="s">
        <v>467</v>
      </c>
      <c r="J4" t="s">
        <v>468</v>
      </c>
      <c r="K4" t="s">
        <v>469</v>
      </c>
      <c r="L4">
        <v>1368</v>
      </c>
      <c r="N4">
        <v>1011</v>
      </c>
      <c r="O4" t="s">
        <v>470</v>
      </c>
      <c r="P4" t="s">
        <v>470</v>
      </c>
      <c r="Q4">
        <v>1</v>
      </c>
      <c r="W4">
        <v>0</v>
      </c>
      <c r="X4">
        <v>-1071764843</v>
      </c>
      <c r="Y4">
        <v>10.3488</v>
      </c>
      <c r="AA4">
        <v>0</v>
      </c>
      <c r="AB4">
        <v>562.19</v>
      </c>
      <c r="AC4">
        <v>269.46</v>
      </c>
      <c r="AD4">
        <v>0</v>
      </c>
      <c r="AE4">
        <v>0</v>
      </c>
      <c r="AF4">
        <v>79.07</v>
      </c>
      <c r="AG4">
        <v>13.5</v>
      </c>
      <c r="AH4">
        <v>0</v>
      </c>
      <c r="AI4">
        <v>1</v>
      </c>
      <c r="AJ4">
        <v>7.11</v>
      </c>
      <c r="AK4">
        <v>19.96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T4">
        <v>7.84</v>
      </c>
      <c r="AU4" t="s">
        <v>108</v>
      </c>
      <c r="AV4">
        <v>0</v>
      </c>
      <c r="AW4">
        <v>2</v>
      </c>
      <c r="AX4">
        <v>42254903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Y4*Source!I67</f>
        <v>1.2211584</v>
      </c>
      <c r="CY4">
        <f>AB4</f>
        <v>562.19</v>
      </c>
      <c r="CZ4">
        <f>AF4</f>
        <v>79.07</v>
      </c>
      <c r="DA4">
        <f>AJ4</f>
        <v>7.11</v>
      </c>
      <c r="DB4">
        <v>0</v>
      </c>
    </row>
    <row r="5" spans="1:106" ht="12.75">
      <c r="A5">
        <f>ROW(Source!A67)</f>
        <v>67</v>
      </c>
      <c r="B5">
        <v>42253831</v>
      </c>
      <c r="C5">
        <v>42254895</v>
      </c>
      <c r="D5">
        <v>36881471</v>
      </c>
      <c r="E5">
        <v>1</v>
      </c>
      <c r="F5">
        <v>1</v>
      </c>
      <c r="G5">
        <v>1</v>
      </c>
      <c r="H5">
        <v>2</v>
      </c>
      <c r="I5" t="s">
        <v>471</v>
      </c>
      <c r="J5" t="s">
        <v>472</v>
      </c>
      <c r="K5" t="s">
        <v>473</v>
      </c>
      <c r="L5">
        <v>1368</v>
      </c>
      <c r="N5">
        <v>1011</v>
      </c>
      <c r="O5" t="s">
        <v>470</v>
      </c>
      <c r="P5" t="s">
        <v>470</v>
      </c>
      <c r="Q5">
        <v>1</v>
      </c>
      <c r="W5">
        <v>0</v>
      </c>
      <c r="X5">
        <v>1432324721</v>
      </c>
      <c r="Y5">
        <v>33.33</v>
      </c>
      <c r="AA5">
        <v>0</v>
      </c>
      <c r="AB5">
        <v>819.57</v>
      </c>
      <c r="AC5">
        <v>269.46</v>
      </c>
      <c r="AD5">
        <v>0</v>
      </c>
      <c r="AE5">
        <v>0</v>
      </c>
      <c r="AF5">
        <v>115.27</v>
      </c>
      <c r="AG5">
        <v>13.5</v>
      </c>
      <c r="AH5">
        <v>0</v>
      </c>
      <c r="AI5">
        <v>1</v>
      </c>
      <c r="AJ5">
        <v>7.11</v>
      </c>
      <c r="AK5">
        <v>19.96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T5">
        <v>25.25</v>
      </c>
      <c r="AU5" t="s">
        <v>108</v>
      </c>
      <c r="AV5">
        <v>0</v>
      </c>
      <c r="AW5">
        <v>2</v>
      </c>
      <c r="AX5">
        <v>42254904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Y5*Source!I67</f>
        <v>3.9329399999999994</v>
      </c>
      <c r="CY5">
        <f>AB5</f>
        <v>819.57</v>
      </c>
      <c r="CZ5">
        <f>AF5</f>
        <v>115.27</v>
      </c>
      <c r="DA5">
        <f>AJ5</f>
        <v>7.11</v>
      </c>
      <c r="DB5">
        <v>0</v>
      </c>
    </row>
    <row r="6" spans="1:106" ht="12.75">
      <c r="A6">
        <f>ROW(Source!A67)</f>
        <v>67</v>
      </c>
      <c r="B6">
        <v>42253831</v>
      </c>
      <c r="C6">
        <v>42254895</v>
      </c>
      <c r="D6">
        <v>36806211</v>
      </c>
      <c r="E6">
        <v>1</v>
      </c>
      <c r="F6">
        <v>1</v>
      </c>
      <c r="G6">
        <v>1</v>
      </c>
      <c r="H6">
        <v>3</v>
      </c>
      <c r="I6" t="s">
        <v>474</v>
      </c>
      <c r="J6" t="s">
        <v>475</v>
      </c>
      <c r="K6" t="s">
        <v>476</v>
      </c>
      <c r="L6">
        <v>1339</v>
      </c>
      <c r="N6">
        <v>1007</v>
      </c>
      <c r="O6" t="s">
        <v>140</v>
      </c>
      <c r="P6" t="s">
        <v>140</v>
      </c>
      <c r="Q6">
        <v>1</v>
      </c>
      <c r="W6">
        <v>0</v>
      </c>
      <c r="X6">
        <v>-1356223944</v>
      </c>
      <c r="Y6">
        <v>0.04</v>
      </c>
      <c r="AA6">
        <v>613.54</v>
      </c>
      <c r="AB6">
        <v>0</v>
      </c>
      <c r="AC6">
        <v>0</v>
      </c>
      <c r="AD6">
        <v>0</v>
      </c>
      <c r="AE6">
        <v>108.4</v>
      </c>
      <c r="AF6">
        <v>0</v>
      </c>
      <c r="AG6">
        <v>0</v>
      </c>
      <c r="AH6">
        <v>0</v>
      </c>
      <c r="AI6">
        <v>5.66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0.04</v>
      </c>
      <c r="AV6">
        <v>0</v>
      </c>
      <c r="AW6">
        <v>2</v>
      </c>
      <c r="AX6">
        <v>42254905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Y6*Source!I67</f>
        <v>0.00472</v>
      </c>
      <c r="CY6">
        <f>AA6</f>
        <v>613.54</v>
      </c>
      <c r="CZ6">
        <f>AE6</f>
        <v>108.4</v>
      </c>
      <c r="DA6">
        <f>AI6</f>
        <v>5.66</v>
      </c>
      <c r="DB6">
        <v>0</v>
      </c>
    </row>
    <row r="7" spans="1:106" ht="12.75">
      <c r="A7">
        <f>ROW(Source!A68)</f>
        <v>68</v>
      </c>
      <c r="B7">
        <v>42253831</v>
      </c>
      <c r="C7">
        <v>42254906</v>
      </c>
      <c r="D7">
        <v>37069968</v>
      </c>
      <c r="E7">
        <v>1</v>
      </c>
      <c r="F7">
        <v>1</v>
      </c>
      <c r="G7">
        <v>1</v>
      </c>
      <c r="H7">
        <v>1</v>
      </c>
      <c r="I7" t="s">
        <v>477</v>
      </c>
      <c r="K7" t="s">
        <v>478</v>
      </c>
      <c r="L7">
        <v>1191</v>
      </c>
      <c r="N7">
        <v>1013</v>
      </c>
      <c r="O7" t="s">
        <v>462</v>
      </c>
      <c r="P7" t="s">
        <v>462</v>
      </c>
      <c r="Q7">
        <v>1</v>
      </c>
      <c r="W7">
        <v>0</v>
      </c>
      <c r="X7">
        <v>-200730820</v>
      </c>
      <c r="Y7">
        <v>217.35</v>
      </c>
      <c r="AA7">
        <v>0</v>
      </c>
      <c r="AB7">
        <v>0</v>
      </c>
      <c r="AC7">
        <v>0</v>
      </c>
      <c r="AD7">
        <v>167.26</v>
      </c>
      <c r="AE7">
        <v>0</v>
      </c>
      <c r="AF7">
        <v>0</v>
      </c>
      <c r="AG7">
        <v>0</v>
      </c>
      <c r="AH7">
        <v>8.38</v>
      </c>
      <c r="AI7">
        <v>1</v>
      </c>
      <c r="AJ7">
        <v>1</v>
      </c>
      <c r="AK7">
        <v>1</v>
      </c>
      <c r="AL7">
        <v>19.96</v>
      </c>
      <c r="AN7">
        <v>0</v>
      </c>
      <c r="AO7">
        <v>1</v>
      </c>
      <c r="AP7">
        <v>1</v>
      </c>
      <c r="AQ7">
        <v>0</v>
      </c>
      <c r="AR7">
        <v>0</v>
      </c>
      <c r="AT7">
        <v>189</v>
      </c>
      <c r="AU7" t="s">
        <v>117</v>
      </c>
      <c r="AV7">
        <v>1</v>
      </c>
      <c r="AW7">
        <v>2</v>
      </c>
      <c r="AX7">
        <v>42254908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Y7*Source!I68</f>
        <v>21.735</v>
      </c>
      <c r="CY7">
        <f>AD7</f>
        <v>167.26</v>
      </c>
      <c r="CZ7">
        <f>AH7</f>
        <v>8.38</v>
      </c>
      <c r="DA7">
        <f>AL7</f>
        <v>19.96</v>
      </c>
      <c r="DB7">
        <v>0</v>
      </c>
    </row>
    <row r="8" spans="1:106" ht="12.75">
      <c r="A8">
        <f>ROW(Source!A69)</f>
        <v>69</v>
      </c>
      <c r="B8">
        <v>42253831</v>
      </c>
      <c r="C8">
        <v>42254909</v>
      </c>
      <c r="D8">
        <v>37071503</v>
      </c>
      <c r="E8">
        <v>1</v>
      </c>
      <c r="F8">
        <v>1</v>
      </c>
      <c r="G8">
        <v>1</v>
      </c>
      <c r="H8">
        <v>1</v>
      </c>
      <c r="I8" t="s">
        <v>479</v>
      </c>
      <c r="K8" t="s">
        <v>480</v>
      </c>
      <c r="L8">
        <v>1191</v>
      </c>
      <c r="N8">
        <v>1013</v>
      </c>
      <c r="O8" t="s">
        <v>462</v>
      </c>
      <c r="P8" t="s">
        <v>462</v>
      </c>
      <c r="Q8">
        <v>1</v>
      </c>
      <c r="W8">
        <v>0</v>
      </c>
      <c r="X8">
        <v>-1972610816</v>
      </c>
      <c r="Y8">
        <v>53.56</v>
      </c>
      <c r="AA8">
        <v>0</v>
      </c>
      <c r="AB8">
        <v>0</v>
      </c>
      <c r="AC8">
        <v>0</v>
      </c>
      <c r="AD8">
        <v>149.7</v>
      </c>
      <c r="AE8">
        <v>0</v>
      </c>
      <c r="AF8">
        <v>0</v>
      </c>
      <c r="AG8">
        <v>0</v>
      </c>
      <c r="AH8">
        <v>7.5</v>
      </c>
      <c r="AI8">
        <v>1</v>
      </c>
      <c r="AJ8">
        <v>1</v>
      </c>
      <c r="AK8">
        <v>1</v>
      </c>
      <c r="AL8">
        <v>19.96</v>
      </c>
      <c r="AN8">
        <v>0</v>
      </c>
      <c r="AO8">
        <v>1</v>
      </c>
      <c r="AP8">
        <v>0</v>
      </c>
      <c r="AQ8">
        <v>0</v>
      </c>
      <c r="AR8">
        <v>0</v>
      </c>
      <c r="AT8">
        <v>53.56</v>
      </c>
      <c r="AV8">
        <v>1</v>
      </c>
      <c r="AW8">
        <v>2</v>
      </c>
      <c r="AX8">
        <v>42254911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Y8*Source!I69</f>
        <v>63.2008</v>
      </c>
      <c r="CY8">
        <f>AD8</f>
        <v>149.7</v>
      </c>
      <c r="CZ8">
        <f>AH8</f>
        <v>7.5</v>
      </c>
      <c r="DA8">
        <f>AL8</f>
        <v>19.96</v>
      </c>
      <c r="DB8">
        <v>0</v>
      </c>
    </row>
    <row r="9" spans="1:106" ht="12.75">
      <c r="A9">
        <f>ROW(Source!A71)</f>
        <v>71</v>
      </c>
      <c r="B9">
        <v>42253831</v>
      </c>
      <c r="C9">
        <v>42254913</v>
      </c>
      <c r="D9">
        <v>37064998</v>
      </c>
      <c r="E9">
        <v>1</v>
      </c>
      <c r="F9">
        <v>1</v>
      </c>
      <c r="G9">
        <v>1</v>
      </c>
      <c r="H9">
        <v>1</v>
      </c>
      <c r="I9" t="s">
        <v>463</v>
      </c>
      <c r="K9" t="s">
        <v>464</v>
      </c>
      <c r="L9">
        <v>1191</v>
      </c>
      <c r="N9">
        <v>1013</v>
      </c>
      <c r="O9" t="s">
        <v>462</v>
      </c>
      <c r="P9" t="s">
        <v>462</v>
      </c>
      <c r="Q9">
        <v>1</v>
      </c>
      <c r="W9">
        <v>0</v>
      </c>
      <c r="X9">
        <v>735429535</v>
      </c>
      <c r="Y9">
        <v>3.65</v>
      </c>
      <c r="AA9">
        <v>0</v>
      </c>
      <c r="AB9">
        <v>0</v>
      </c>
      <c r="AC9">
        <v>0</v>
      </c>
      <c r="AD9">
        <v>155.69</v>
      </c>
      <c r="AE9">
        <v>0</v>
      </c>
      <c r="AF9">
        <v>0</v>
      </c>
      <c r="AG9">
        <v>0</v>
      </c>
      <c r="AH9">
        <v>7.8</v>
      </c>
      <c r="AI9">
        <v>1</v>
      </c>
      <c r="AJ9">
        <v>1</v>
      </c>
      <c r="AK9">
        <v>1</v>
      </c>
      <c r="AL9">
        <v>19.96</v>
      </c>
      <c r="AN9">
        <v>0</v>
      </c>
      <c r="AO9">
        <v>1</v>
      </c>
      <c r="AP9">
        <v>0</v>
      </c>
      <c r="AQ9">
        <v>0</v>
      </c>
      <c r="AR9">
        <v>0</v>
      </c>
      <c r="AT9">
        <v>3.65</v>
      </c>
      <c r="AV9">
        <v>1</v>
      </c>
      <c r="AW9">
        <v>2</v>
      </c>
      <c r="AX9">
        <v>42254919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Y9*Source!I71</f>
        <v>0.42705000000000004</v>
      </c>
      <c r="CY9">
        <f>AD9</f>
        <v>155.69</v>
      </c>
      <c r="CZ9">
        <f>AH9</f>
        <v>7.8</v>
      </c>
      <c r="DA9">
        <f>AL9</f>
        <v>19.96</v>
      </c>
      <c r="DB9">
        <v>0</v>
      </c>
    </row>
    <row r="10" spans="1:106" ht="12.75">
      <c r="A10">
        <f>ROW(Source!A71)</f>
        <v>71</v>
      </c>
      <c r="B10">
        <v>42253831</v>
      </c>
      <c r="C10">
        <v>42254913</v>
      </c>
      <c r="D10">
        <v>37064876</v>
      </c>
      <c r="E10">
        <v>1</v>
      </c>
      <c r="F10">
        <v>1</v>
      </c>
      <c r="G10">
        <v>1</v>
      </c>
      <c r="H10">
        <v>1</v>
      </c>
      <c r="I10" t="s">
        <v>465</v>
      </c>
      <c r="K10" t="s">
        <v>466</v>
      </c>
      <c r="L10">
        <v>1191</v>
      </c>
      <c r="N10">
        <v>1013</v>
      </c>
      <c r="O10" t="s">
        <v>462</v>
      </c>
      <c r="P10" t="s">
        <v>462</v>
      </c>
      <c r="Q10">
        <v>1</v>
      </c>
      <c r="W10">
        <v>0</v>
      </c>
      <c r="X10">
        <v>-1417349443</v>
      </c>
      <c r="Y10">
        <v>4.05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19.96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4.05</v>
      </c>
      <c r="AV10">
        <v>2</v>
      </c>
      <c r="AW10">
        <v>2</v>
      </c>
      <c r="AX10">
        <v>42254920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Y10*Source!I71</f>
        <v>0.47385</v>
      </c>
      <c r="CY10">
        <f>AD10</f>
        <v>0</v>
      </c>
      <c r="CZ10">
        <f>AH10</f>
        <v>0</v>
      </c>
      <c r="DA10">
        <f>AL10</f>
        <v>1</v>
      </c>
      <c r="DB10">
        <v>0</v>
      </c>
    </row>
    <row r="11" spans="1:106" ht="12.75">
      <c r="A11">
        <f>ROW(Source!A71)</f>
        <v>71</v>
      </c>
      <c r="B11">
        <v>42253831</v>
      </c>
      <c r="C11">
        <v>42254913</v>
      </c>
      <c r="D11">
        <v>36881356</v>
      </c>
      <c r="E11">
        <v>1</v>
      </c>
      <c r="F11">
        <v>1</v>
      </c>
      <c r="G11">
        <v>1</v>
      </c>
      <c r="H11">
        <v>2</v>
      </c>
      <c r="I11" t="s">
        <v>467</v>
      </c>
      <c r="J11" t="s">
        <v>468</v>
      </c>
      <c r="K11" t="s">
        <v>469</v>
      </c>
      <c r="L11">
        <v>1368</v>
      </c>
      <c r="N11">
        <v>1011</v>
      </c>
      <c r="O11" t="s">
        <v>470</v>
      </c>
      <c r="P11" t="s">
        <v>470</v>
      </c>
      <c r="Q11">
        <v>1</v>
      </c>
      <c r="W11">
        <v>0</v>
      </c>
      <c r="X11">
        <v>-1071764843</v>
      </c>
      <c r="Y11">
        <v>3.97</v>
      </c>
      <c r="AA11">
        <v>0</v>
      </c>
      <c r="AB11">
        <v>562.19</v>
      </c>
      <c r="AC11">
        <v>269.46</v>
      </c>
      <c r="AD11">
        <v>0</v>
      </c>
      <c r="AE11">
        <v>0</v>
      </c>
      <c r="AF11">
        <v>79.07</v>
      </c>
      <c r="AG11">
        <v>13.5</v>
      </c>
      <c r="AH11">
        <v>0</v>
      </c>
      <c r="AI11">
        <v>1</v>
      </c>
      <c r="AJ11">
        <v>7.11</v>
      </c>
      <c r="AK11">
        <v>19.96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3.97</v>
      </c>
      <c r="AV11">
        <v>0</v>
      </c>
      <c r="AW11">
        <v>2</v>
      </c>
      <c r="AX11">
        <v>42254921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Y11*Source!I71</f>
        <v>0.46449000000000007</v>
      </c>
      <c r="CY11">
        <f>AB11</f>
        <v>562.19</v>
      </c>
      <c r="CZ11">
        <f>AF11</f>
        <v>79.07</v>
      </c>
      <c r="DA11">
        <f>AJ11</f>
        <v>7.11</v>
      </c>
      <c r="DB11">
        <v>0</v>
      </c>
    </row>
    <row r="12" spans="1:106" ht="12.75">
      <c r="A12">
        <f>ROW(Source!A71)</f>
        <v>71</v>
      </c>
      <c r="B12">
        <v>42253831</v>
      </c>
      <c r="C12">
        <v>42254913</v>
      </c>
      <c r="D12">
        <v>36883560</v>
      </c>
      <c r="E12">
        <v>1</v>
      </c>
      <c r="F12">
        <v>1</v>
      </c>
      <c r="G12">
        <v>1</v>
      </c>
      <c r="H12">
        <v>2</v>
      </c>
      <c r="I12" t="s">
        <v>481</v>
      </c>
      <c r="J12" t="s">
        <v>482</v>
      </c>
      <c r="K12" t="s">
        <v>483</v>
      </c>
      <c r="L12">
        <v>1368</v>
      </c>
      <c r="N12">
        <v>1011</v>
      </c>
      <c r="O12" t="s">
        <v>470</v>
      </c>
      <c r="P12" t="s">
        <v>470</v>
      </c>
      <c r="Q12">
        <v>1</v>
      </c>
      <c r="W12">
        <v>0</v>
      </c>
      <c r="X12">
        <v>-1690382060</v>
      </c>
      <c r="Y12">
        <v>0.08</v>
      </c>
      <c r="AA12">
        <v>0</v>
      </c>
      <c r="AB12">
        <v>636.63</v>
      </c>
      <c r="AC12">
        <v>231.54</v>
      </c>
      <c r="AD12">
        <v>0</v>
      </c>
      <c r="AE12">
        <v>0</v>
      </c>
      <c r="AF12">
        <v>89.54</v>
      </c>
      <c r="AG12">
        <v>11.6</v>
      </c>
      <c r="AH12">
        <v>0</v>
      </c>
      <c r="AI12">
        <v>1</v>
      </c>
      <c r="AJ12">
        <v>7.11</v>
      </c>
      <c r="AK12">
        <v>19.96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0.08</v>
      </c>
      <c r="AV12">
        <v>0</v>
      </c>
      <c r="AW12">
        <v>2</v>
      </c>
      <c r="AX12">
        <v>42254922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Y12*Source!I71</f>
        <v>0.00936</v>
      </c>
      <c r="CY12">
        <f>AB12</f>
        <v>636.63</v>
      </c>
      <c r="CZ12">
        <f>AF12</f>
        <v>89.54</v>
      </c>
      <c r="DA12">
        <f>AJ12</f>
        <v>7.11</v>
      </c>
      <c r="DB12">
        <v>0</v>
      </c>
    </row>
    <row r="13" spans="1:106" ht="12.75">
      <c r="A13">
        <f>ROW(Source!A71)</f>
        <v>71</v>
      </c>
      <c r="B13">
        <v>42253831</v>
      </c>
      <c r="C13">
        <v>42254913</v>
      </c>
      <c r="D13">
        <v>36806211</v>
      </c>
      <c r="E13">
        <v>1</v>
      </c>
      <c r="F13">
        <v>1</v>
      </c>
      <c r="G13">
        <v>1</v>
      </c>
      <c r="H13">
        <v>3</v>
      </c>
      <c r="I13" t="s">
        <v>474</v>
      </c>
      <c r="J13" t="s">
        <v>475</v>
      </c>
      <c r="K13" t="s">
        <v>476</v>
      </c>
      <c r="L13">
        <v>1339</v>
      </c>
      <c r="N13">
        <v>1007</v>
      </c>
      <c r="O13" t="s">
        <v>140</v>
      </c>
      <c r="P13" t="s">
        <v>140</v>
      </c>
      <c r="Q13">
        <v>1</v>
      </c>
      <c r="W13">
        <v>0</v>
      </c>
      <c r="X13">
        <v>-1356223944</v>
      </c>
      <c r="Y13">
        <v>0.04</v>
      </c>
      <c r="AA13">
        <v>613.54</v>
      </c>
      <c r="AB13">
        <v>0</v>
      </c>
      <c r="AC13">
        <v>0</v>
      </c>
      <c r="AD13">
        <v>0</v>
      </c>
      <c r="AE13">
        <v>108.4</v>
      </c>
      <c r="AF13">
        <v>0</v>
      </c>
      <c r="AG13">
        <v>0</v>
      </c>
      <c r="AH13">
        <v>0</v>
      </c>
      <c r="AI13">
        <v>5.66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0.04</v>
      </c>
      <c r="AV13">
        <v>0</v>
      </c>
      <c r="AW13">
        <v>2</v>
      </c>
      <c r="AX13">
        <v>42254923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Y13*Source!I71</f>
        <v>0.00468</v>
      </c>
      <c r="CY13">
        <f>AA13</f>
        <v>613.54</v>
      </c>
      <c r="CZ13">
        <f>AE13</f>
        <v>108.4</v>
      </c>
      <c r="DA13">
        <f>AI13</f>
        <v>5.66</v>
      </c>
      <c r="DB13">
        <v>0</v>
      </c>
    </row>
    <row r="14" spans="1:106" ht="12.75">
      <c r="A14">
        <f>ROW(Source!A72)</f>
        <v>72</v>
      </c>
      <c r="B14">
        <v>42253831</v>
      </c>
      <c r="C14">
        <v>42254924</v>
      </c>
      <c r="D14">
        <v>37064876</v>
      </c>
      <c r="E14">
        <v>1</v>
      </c>
      <c r="F14">
        <v>1</v>
      </c>
      <c r="G14">
        <v>1</v>
      </c>
      <c r="H14">
        <v>1</v>
      </c>
      <c r="I14" t="s">
        <v>465</v>
      </c>
      <c r="K14" t="s">
        <v>466</v>
      </c>
      <c r="L14">
        <v>1191</v>
      </c>
      <c r="N14">
        <v>1013</v>
      </c>
      <c r="O14" t="s">
        <v>462</v>
      </c>
      <c r="P14" t="s">
        <v>462</v>
      </c>
      <c r="Q14">
        <v>1</v>
      </c>
      <c r="W14">
        <v>0</v>
      </c>
      <c r="X14">
        <v>-1417349443</v>
      </c>
      <c r="Y14">
        <v>7.6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19.96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7.6</v>
      </c>
      <c r="AV14">
        <v>2</v>
      </c>
      <c r="AW14">
        <v>2</v>
      </c>
      <c r="AX14">
        <v>42254927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Y14*Source!I72</f>
        <v>0.2964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ht="12.75">
      <c r="A15">
        <f>ROW(Source!A72)</f>
        <v>72</v>
      </c>
      <c r="B15">
        <v>42253831</v>
      </c>
      <c r="C15">
        <v>42254924</v>
      </c>
      <c r="D15">
        <v>36881354</v>
      </c>
      <c r="E15">
        <v>1</v>
      </c>
      <c r="F15">
        <v>1</v>
      </c>
      <c r="G15">
        <v>1</v>
      </c>
      <c r="H15">
        <v>2</v>
      </c>
      <c r="I15" t="s">
        <v>484</v>
      </c>
      <c r="J15" t="s">
        <v>485</v>
      </c>
      <c r="K15" t="s">
        <v>486</v>
      </c>
      <c r="L15">
        <v>1368</v>
      </c>
      <c r="N15">
        <v>1011</v>
      </c>
      <c r="O15" t="s">
        <v>470</v>
      </c>
      <c r="P15" t="s">
        <v>470</v>
      </c>
      <c r="Q15">
        <v>1</v>
      </c>
      <c r="W15">
        <v>0</v>
      </c>
      <c r="X15">
        <v>-1734052855</v>
      </c>
      <c r="Y15">
        <v>7.6</v>
      </c>
      <c r="AA15">
        <v>0</v>
      </c>
      <c r="AB15">
        <v>422.83</v>
      </c>
      <c r="AC15">
        <v>231.54</v>
      </c>
      <c r="AD15">
        <v>0</v>
      </c>
      <c r="AE15">
        <v>0</v>
      </c>
      <c r="AF15">
        <v>59.47</v>
      </c>
      <c r="AG15">
        <v>11.6</v>
      </c>
      <c r="AH15">
        <v>0</v>
      </c>
      <c r="AI15">
        <v>1</v>
      </c>
      <c r="AJ15">
        <v>7.11</v>
      </c>
      <c r="AK15">
        <v>19.96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7.6</v>
      </c>
      <c r="AV15">
        <v>0</v>
      </c>
      <c r="AW15">
        <v>2</v>
      </c>
      <c r="AX15">
        <v>42254928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Y15*Source!I72</f>
        <v>0.2964</v>
      </c>
      <c r="CY15">
        <f>AB15</f>
        <v>422.83</v>
      </c>
      <c r="CZ15">
        <f>AF15</f>
        <v>59.47</v>
      </c>
      <c r="DA15">
        <f>AJ15</f>
        <v>7.11</v>
      </c>
      <c r="DB15">
        <v>0</v>
      </c>
    </row>
    <row r="16" spans="1:106" ht="12.75">
      <c r="A16">
        <f>ROW(Source!A73)</f>
        <v>73</v>
      </c>
      <c r="B16">
        <v>42253831</v>
      </c>
      <c r="C16">
        <v>42254929</v>
      </c>
      <c r="D16">
        <v>37064876</v>
      </c>
      <c r="E16">
        <v>1</v>
      </c>
      <c r="F16">
        <v>1</v>
      </c>
      <c r="G16">
        <v>1</v>
      </c>
      <c r="H16">
        <v>1</v>
      </c>
      <c r="I16" t="s">
        <v>465</v>
      </c>
      <c r="K16" t="s">
        <v>466</v>
      </c>
      <c r="L16">
        <v>1191</v>
      </c>
      <c r="N16">
        <v>1013</v>
      </c>
      <c r="O16" t="s">
        <v>462</v>
      </c>
      <c r="P16" t="s">
        <v>462</v>
      </c>
      <c r="Q16">
        <v>1</v>
      </c>
      <c r="W16">
        <v>0</v>
      </c>
      <c r="X16">
        <v>-1417349443</v>
      </c>
      <c r="Y16">
        <v>4.26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19.96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4.26</v>
      </c>
      <c r="AV16">
        <v>2</v>
      </c>
      <c r="AW16">
        <v>2</v>
      </c>
      <c r="AX16">
        <v>42254933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Y16*Source!I73</f>
        <v>0.16613999999999998</v>
      </c>
      <c r="CY16">
        <f>AD16</f>
        <v>0</v>
      </c>
      <c r="CZ16">
        <f>AH16</f>
        <v>0</v>
      </c>
      <c r="DA16">
        <f>AL16</f>
        <v>1</v>
      </c>
      <c r="DB16">
        <v>0</v>
      </c>
    </row>
    <row r="17" spans="1:106" ht="12.75">
      <c r="A17">
        <f>ROW(Source!A73)</f>
        <v>73</v>
      </c>
      <c r="B17">
        <v>42253831</v>
      </c>
      <c r="C17">
        <v>42254929</v>
      </c>
      <c r="D17">
        <v>36881354</v>
      </c>
      <c r="E17">
        <v>1</v>
      </c>
      <c r="F17">
        <v>1</v>
      </c>
      <c r="G17">
        <v>1</v>
      </c>
      <c r="H17">
        <v>2</v>
      </c>
      <c r="I17" t="s">
        <v>484</v>
      </c>
      <c r="J17" t="s">
        <v>485</v>
      </c>
      <c r="K17" t="s">
        <v>486</v>
      </c>
      <c r="L17">
        <v>1368</v>
      </c>
      <c r="N17">
        <v>1011</v>
      </c>
      <c r="O17" t="s">
        <v>470</v>
      </c>
      <c r="P17" t="s">
        <v>470</v>
      </c>
      <c r="Q17">
        <v>1</v>
      </c>
      <c r="W17">
        <v>0</v>
      </c>
      <c r="X17">
        <v>-1734052855</v>
      </c>
      <c r="Y17">
        <v>4.26</v>
      </c>
      <c r="AA17">
        <v>0</v>
      </c>
      <c r="AB17">
        <v>422.83</v>
      </c>
      <c r="AC17">
        <v>231.54</v>
      </c>
      <c r="AD17">
        <v>0</v>
      </c>
      <c r="AE17">
        <v>0</v>
      </c>
      <c r="AF17">
        <v>59.47</v>
      </c>
      <c r="AG17">
        <v>11.6</v>
      </c>
      <c r="AH17">
        <v>0</v>
      </c>
      <c r="AI17">
        <v>1</v>
      </c>
      <c r="AJ17">
        <v>7.11</v>
      </c>
      <c r="AK17">
        <v>19.96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4.26</v>
      </c>
      <c r="AV17">
        <v>0</v>
      </c>
      <c r="AW17">
        <v>2</v>
      </c>
      <c r="AX17">
        <v>42254934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Y17*Source!I73</f>
        <v>0.16613999999999998</v>
      </c>
      <c r="CY17">
        <f>AB17</f>
        <v>422.83</v>
      </c>
      <c r="CZ17">
        <f>AF17</f>
        <v>59.47</v>
      </c>
      <c r="DA17">
        <f>AJ17</f>
        <v>7.11</v>
      </c>
      <c r="DB17">
        <v>0</v>
      </c>
    </row>
    <row r="18" spans="1:106" ht="12.75">
      <c r="A18">
        <f>ROW(Source!A73)</f>
        <v>73</v>
      </c>
      <c r="B18">
        <v>42253831</v>
      </c>
      <c r="C18">
        <v>42254929</v>
      </c>
      <c r="D18">
        <v>36806289</v>
      </c>
      <c r="E18">
        <v>1</v>
      </c>
      <c r="F18">
        <v>1</v>
      </c>
      <c r="G18">
        <v>1</v>
      </c>
      <c r="H18">
        <v>3</v>
      </c>
      <c r="I18" t="s">
        <v>138</v>
      </c>
      <c r="J18" t="s">
        <v>141</v>
      </c>
      <c r="K18" t="s">
        <v>139</v>
      </c>
      <c r="L18">
        <v>1339</v>
      </c>
      <c r="N18">
        <v>1007</v>
      </c>
      <c r="O18" t="s">
        <v>140</v>
      </c>
      <c r="P18" t="s">
        <v>140</v>
      </c>
      <c r="Q18">
        <v>1</v>
      </c>
      <c r="W18">
        <v>0</v>
      </c>
      <c r="X18">
        <v>-35545874</v>
      </c>
      <c r="Y18">
        <v>1000</v>
      </c>
      <c r="AA18">
        <v>312.77</v>
      </c>
      <c r="AB18">
        <v>0</v>
      </c>
      <c r="AC18">
        <v>0</v>
      </c>
      <c r="AD18">
        <v>0</v>
      </c>
      <c r="AE18">
        <v>55.26</v>
      </c>
      <c r="AF18">
        <v>0</v>
      </c>
      <c r="AG18">
        <v>0</v>
      </c>
      <c r="AH18">
        <v>0</v>
      </c>
      <c r="AI18">
        <v>5.66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T18">
        <v>1000</v>
      </c>
      <c r="AV18">
        <v>0</v>
      </c>
      <c r="AW18">
        <v>1</v>
      </c>
      <c r="AX18">
        <v>-1</v>
      </c>
      <c r="AY18">
        <v>0</v>
      </c>
      <c r="AZ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Y18*Source!I73</f>
        <v>39</v>
      </c>
      <c r="CY18">
        <f>AA18</f>
        <v>312.77</v>
      </c>
      <c r="CZ18">
        <f>AE18</f>
        <v>55.26</v>
      </c>
      <c r="DA18">
        <f>AI18</f>
        <v>5.66</v>
      </c>
      <c r="DB18">
        <v>0</v>
      </c>
    </row>
    <row r="19" spans="1:106" ht="12.75">
      <c r="A19">
        <f>ROW(Source!A75)</f>
        <v>75</v>
      </c>
      <c r="B19">
        <v>42253831</v>
      </c>
      <c r="C19">
        <v>42254936</v>
      </c>
      <c r="D19">
        <v>37065248</v>
      </c>
      <c r="E19">
        <v>1</v>
      </c>
      <c r="F19">
        <v>1</v>
      </c>
      <c r="G19">
        <v>1</v>
      </c>
      <c r="H19">
        <v>1</v>
      </c>
      <c r="I19" t="s">
        <v>460</v>
      </c>
      <c r="K19" t="s">
        <v>461</v>
      </c>
      <c r="L19">
        <v>1191</v>
      </c>
      <c r="N19">
        <v>1013</v>
      </c>
      <c r="O19" t="s">
        <v>462</v>
      </c>
      <c r="P19" t="s">
        <v>462</v>
      </c>
      <c r="Q19">
        <v>1</v>
      </c>
      <c r="W19">
        <v>0</v>
      </c>
      <c r="X19">
        <v>-400197608</v>
      </c>
      <c r="Y19">
        <v>12.53</v>
      </c>
      <c r="AA19">
        <v>0</v>
      </c>
      <c r="AB19">
        <v>0</v>
      </c>
      <c r="AC19">
        <v>0</v>
      </c>
      <c r="AD19">
        <v>170.26</v>
      </c>
      <c r="AE19">
        <v>0</v>
      </c>
      <c r="AF19">
        <v>0</v>
      </c>
      <c r="AG19">
        <v>0</v>
      </c>
      <c r="AH19">
        <v>8.53</v>
      </c>
      <c r="AI19">
        <v>1</v>
      </c>
      <c r="AJ19">
        <v>1</v>
      </c>
      <c r="AK19">
        <v>1</v>
      </c>
      <c r="AL19">
        <v>19.96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12.53</v>
      </c>
      <c r="AV19">
        <v>1</v>
      </c>
      <c r="AW19">
        <v>2</v>
      </c>
      <c r="AX19">
        <v>42254941</v>
      </c>
      <c r="AY19">
        <v>1</v>
      </c>
      <c r="AZ19">
        <v>0</v>
      </c>
      <c r="BA19">
        <v>18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Y19*Source!I75</f>
        <v>4.8867</v>
      </c>
      <c r="CY19">
        <f>AD19</f>
        <v>170.26</v>
      </c>
      <c r="CZ19">
        <f>AH19</f>
        <v>8.53</v>
      </c>
      <c r="DA19">
        <f>AL19</f>
        <v>19.96</v>
      </c>
      <c r="DB19">
        <v>0</v>
      </c>
    </row>
    <row r="20" spans="1:106" ht="12.75">
      <c r="A20">
        <f>ROW(Source!A75)</f>
        <v>75</v>
      </c>
      <c r="B20">
        <v>42253831</v>
      </c>
      <c r="C20">
        <v>42254936</v>
      </c>
      <c r="D20">
        <v>37064876</v>
      </c>
      <c r="E20">
        <v>1</v>
      </c>
      <c r="F20">
        <v>1</v>
      </c>
      <c r="G20">
        <v>1</v>
      </c>
      <c r="H20">
        <v>1</v>
      </c>
      <c r="I20" t="s">
        <v>465</v>
      </c>
      <c r="K20" t="s">
        <v>466</v>
      </c>
      <c r="L20">
        <v>1191</v>
      </c>
      <c r="N20">
        <v>1013</v>
      </c>
      <c r="O20" t="s">
        <v>462</v>
      </c>
      <c r="P20" t="s">
        <v>462</v>
      </c>
      <c r="Q20">
        <v>1</v>
      </c>
      <c r="W20">
        <v>0</v>
      </c>
      <c r="X20">
        <v>-1417349443</v>
      </c>
      <c r="Y20">
        <v>3.04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19.96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3.04</v>
      </c>
      <c r="AV20">
        <v>2</v>
      </c>
      <c r="AW20">
        <v>2</v>
      </c>
      <c r="AX20">
        <v>42254942</v>
      </c>
      <c r="AY20">
        <v>1</v>
      </c>
      <c r="AZ20">
        <v>0</v>
      </c>
      <c r="BA20">
        <v>19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Y20*Source!I75</f>
        <v>1.1856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ht="12.75">
      <c r="A21">
        <f>ROW(Source!A75)</f>
        <v>75</v>
      </c>
      <c r="B21">
        <v>42253831</v>
      </c>
      <c r="C21">
        <v>42254936</v>
      </c>
      <c r="D21">
        <v>36882890</v>
      </c>
      <c r="E21">
        <v>1</v>
      </c>
      <c r="F21">
        <v>1</v>
      </c>
      <c r="G21">
        <v>1</v>
      </c>
      <c r="H21">
        <v>2</v>
      </c>
      <c r="I21" t="s">
        <v>487</v>
      </c>
      <c r="J21" t="s">
        <v>488</v>
      </c>
      <c r="K21" t="s">
        <v>489</v>
      </c>
      <c r="L21">
        <v>1368</v>
      </c>
      <c r="N21">
        <v>1011</v>
      </c>
      <c r="O21" t="s">
        <v>470</v>
      </c>
      <c r="P21" t="s">
        <v>470</v>
      </c>
      <c r="Q21">
        <v>1</v>
      </c>
      <c r="W21">
        <v>0</v>
      </c>
      <c r="X21">
        <v>-1806095485</v>
      </c>
      <c r="Y21">
        <v>12.18</v>
      </c>
      <c r="AA21">
        <v>0</v>
      </c>
      <c r="AB21">
        <v>3.91</v>
      </c>
      <c r="AC21">
        <v>0</v>
      </c>
      <c r="AD21">
        <v>0</v>
      </c>
      <c r="AE21">
        <v>0</v>
      </c>
      <c r="AF21">
        <v>0.55</v>
      </c>
      <c r="AG21">
        <v>0</v>
      </c>
      <c r="AH21">
        <v>0</v>
      </c>
      <c r="AI21">
        <v>1</v>
      </c>
      <c r="AJ21">
        <v>7.11</v>
      </c>
      <c r="AK21">
        <v>19.96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12.18</v>
      </c>
      <c r="AV21">
        <v>0</v>
      </c>
      <c r="AW21">
        <v>2</v>
      </c>
      <c r="AX21">
        <v>42254943</v>
      </c>
      <c r="AY21">
        <v>1</v>
      </c>
      <c r="AZ21">
        <v>0</v>
      </c>
      <c r="BA21">
        <v>20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Y21*Source!I75</f>
        <v>4.7502</v>
      </c>
      <c r="CY21">
        <f>AB21</f>
        <v>3.91</v>
      </c>
      <c r="CZ21">
        <f>AF21</f>
        <v>0.55</v>
      </c>
      <c r="DA21">
        <f>AJ21</f>
        <v>7.11</v>
      </c>
      <c r="DB21">
        <v>0</v>
      </c>
    </row>
    <row r="22" spans="1:106" ht="12.75">
      <c r="A22">
        <f>ROW(Source!A75)</f>
        <v>75</v>
      </c>
      <c r="B22">
        <v>42253831</v>
      </c>
      <c r="C22">
        <v>42254936</v>
      </c>
      <c r="D22">
        <v>36883878</v>
      </c>
      <c r="E22">
        <v>1</v>
      </c>
      <c r="F22">
        <v>1</v>
      </c>
      <c r="G22">
        <v>1</v>
      </c>
      <c r="H22">
        <v>2</v>
      </c>
      <c r="I22" t="s">
        <v>490</v>
      </c>
      <c r="J22" t="s">
        <v>491</v>
      </c>
      <c r="K22" t="s">
        <v>492</v>
      </c>
      <c r="L22">
        <v>1368</v>
      </c>
      <c r="N22">
        <v>1011</v>
      </c>
      <c r="O22" t="s">
        <v>470</v>
      </c>
      <c r="P22" t="s">
        <v>470</v>
      </c>
      <c r="Q22">
        <v>1</v>
      </c>
      <c r="W22">
        <v>0</v>
      </c>
      <c r="X22">
        <v>-514543984</v>
      </c>
      <c r="Y22">
        <v>3.04</v>
      </c>
      <c r="AA22">
        <v>0</v>
      </c>
      <c r="AB22">
        <v>639.9</v>
      </c>
      <c r="AC22">
        <v>200.8</v>
      </c>
      <c r="AD22">
        <v>0</v>
      </c>
      <c r="AE22">
        <v>0</v>
      </c>
      <c r="AF22">
        <v>90</v>
      </c>
      <c r="AG22">
        <v>10.06</v>
      </c>
      <c r="AH22">
        <v>0</v>
      </c>
      <c r="AI22">
        <v>1</v>
      </c>
      <c r="AJ22">
        <v>7.11</v>
      </c>
      <c r="AK22">
        <v>19.96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3.04</v>
      </c>
      <c r="AV22">
        <v>0</v>
      </c>
      <c r="AW22">
        <v>2</v>
      </c>
      <c r="AX22">
        <v>42254944</v>
      </c>
      <c r="AY22">
        <v>1</v>
      </c>
      <c r="AZ22">
        <v>0</v>
      </c>
      <c r="BA22">
        <v>21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Y22*Source!I75</f>
        <v>1.1856</v>
      </c>
      <c r="CY22">
        <f>AB22</f>
        <v>639.9</v>
      </c>
      <c r="CZ22">
        <f>AF22</f>
        <v>90</v>
      </c>
      <c r="DA22">
        <f>AJ22</f>
        <v>7.11</v>
      </c>
      <c r="DB22">
        <v>0</v>
      </c>
    </row>
    <row r="23" spans="1:106" ht="12.75">
      <c r="A23">
        <f>ROW(Source!A110)</f>
        <v>110</v>
      </c>
      <c r="B23">
        <v>42253831</v>
      </c>
      <c r="C23">
        <v>42254746</v>
      </c>
      <c r="D23">
        <v>37071037</v>
      </c>
      <c r="E23">
        <v>1</v>
      </c>
      <c r="F23">
        <v>1</v>
      </c>
      <c r="G23">
        <v>1</v>
      </c>
      <c r="H23">
        <v>1</v>
      </c>
      <c r="I23" t="s">
        <v>493</v>
      </c>
      <c r="K23" t="s">
        <v>494</v>
      </c>
      <c r="L23">
        <v>1191</v>
      </c>
      <c r="N23">
        <v>1013</v>
      </c>
      <c r="O23" t="s">
        <v>462</v>
      </c>
      <c r="P23" t="s">
        <v>462</v>
      </c>
      <c r="Q23">
        <v>1</v>
      </c>
      <c r="W23">
        <v>0</v>
      </c>
      <c r="X23">
        <v>1069510174</v>
      </c>
      <c r="Y23">
        <v>42.3</v>
      </c>
      <c r="AA23">
        <v>0</v>
      </c>
      <c r="AB23">
        <v>0</v>
      </c>
      <c r="AC23">
        <v>0</v>
      </c>
      <c r="AD23">
        <v>192.02</v>
      </c>
      <c r="AE23">
        <v>0</v>
      </c>
      <c r="AF23">
        <v>0</v>
      </c>
      <c r="AG23">
        <v>0</v>
      </c>
      <c r="AH23">
        <v>9.62</v>
      </c>
      <c r="AI23">
        <v>1</v>
      </c>
      <c r="AJ23">
        <v>1</v>
      </c>
      <c r="AK23">
        <v>1</v>
      </c>
      <c r="AL23">
        <v>19.96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42.3</v>
      </c>
      <c r="AV23">
        <v>1</v>
      </c>
      <c r="AW23">
        <v>2</v>
      </c>
      <c r="AX23">
        <v>42254757</v>
      </c>
      <c r="AY23">
        <v>1</v>
      </c>
      <c r="AZ23">
        <v>0</v>
      </c>
      <c r="BA23">
        <v>22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Y23*Source!I110</f>
        <v>42.3</v>
      </c>
      <c r="CY23">
        <f>AD23</f>
        <v>192.02</v>
      </c>
      <c r="CZ23">
        <f>AH23</f>
        <v>9.62</v>
      </c>
      <c r="DA23">
        <f>AL23</f>
        <v>19.96</v>
      </c>
      <c r="DB23">
        <v>0</v>
      </c>
    </row>
    <row r="24" spans="1:106" ht="12.75">
      <c r="A24">
        <f>ROW(Source!A110)</f>
        <v>110</v>
      </c>
      <c r="B24">
        <v>42253831</v>
      </c>
      <c r="C24">
        <v>42254746</v>
      </c>
      <c r="D24">
        <v>37064876</v>
      </c>
      <c r="E24">
        <v>1</v>
      </c>
      <c r="F24">
        <v>1</v>
      </c>
      <c r="G24">
        <v>1</v>
      </c>
      <c r="H24">
        <v>1</v>
      </c>
      <c r="I24" t="s">
        <v>465</v>
      </c>
      <c r="K24" t="s">
        <v>466</v>
      </c>
      <c r="L24">
        <v>1191</v>
      </c>
      <c r="N24">
        <v>1013</v>
      </c>
      <c r="O24" t="s">
        <v>462</v>
      </c>
      <c r="P24" t="s">
        <v>462</v>
      </c>
      <c r="Q24">
        <v>1</v>
      </c>
      <c r="W24">
        <v>0</v>
      </c>
      <c r="X24">
        <v>-1417349443</v>
      </c>
      <c r="Y24">
        <v>12.09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19.96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12.09</v>
      </c>
      <c r="AV24">
        <v>2</v>
      </c>
      <c r="AW24">
        <v>2</v>
      </c>
      <c r="AX24">
        <v>42254758</v>
      </c>
      <c r="AY24">
        <v>1</v>
      </c>
      <c r="AZ24">
        <v>0</v>
      </c>
      <c r="BA24">
        <v>23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Y24*Source!I110</f>
        <v>12.09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ht="12.75">
      <c r="A25">
        <f>ROW(Source!A110)</f>
        <v>110</v>
      </c>
      <c r="B25">
        <v>42253831</v>
      </c>
      <c r="C25">
        <v>42254746</v>
      </c>
      <c r="D25">
        <v>36882159</v>
      </c>
      <c r="E25">
        <v>1</v>
      </c>
      <c r="F25">
        <v>1</v>
      </c>
      <c r="G25">
        <v>1</v>
      </c>
      <c r="H25">
        <v>2</v>
      </c>
      <c r="I25" t="s">
        <v>495</v>
      </c>
      <c r="J25" t="s">
        <v>496</v>
      </c>
      <c r="K25" t="s">
        <v>497</v>
      </c>
      <c r="L25">
        <v>1368</v>
      </c>
      <c r="N25">
        <v>1011</v>
      </c>
      <c r="O25" t="s">
        <v>470</v>
      </c>
      <c r="P25" t="s">
        <v>470</v>
      </c>
      <c r="Q25">
        <v>1</v>
      </c>
      <c r="W25">
        <v>0</v>
      </c>
      <c r="X25">
        <v>-1718674368</v>
      </c>
      <c r="Y25">
        <v>9.87</v>
      </c>
      <c r="AA25">
        <v>0</v>
      </c>
      <c r="AB25">
        <v>796.25</v>
      </c>
      <c r="AC25">
        <v>269.46</v>
      </c>
      <c r="AD25">
        <v>0</v>
      </c>
      <c r="AE25">
        <v>0</v>
      </c>
      <c r="AF25">
        <v>111.99</v>
      </c>
      <c r="AG25">
        <v>13.5</v>
      </c>
      <c r="AH25">
        <v>0</v>
      </c>
      <c r="AI25">
        <v>1</v>
      </c>
      <c r="AJ25">
        <v>7.11</v>
      </c>
      <c r="AK25">
        <v>19.96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9.87</v>
      </c>
      <c r="AV25">
        <v>0</v>
      </c>
      <c r="AW25">
        <v>2</v>
      </c>
      <c r="AX25">
        <v>42254759</v>
      </c>
      <c r="AY25">
        <v>1</v>
      </c>
      <c r="AZ25">
        <v>0</v>
      </c>
      <c r="BA25">
        <v>24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Y25*Source!I110</f>
        <v>9.87</v>
      </c>
      <c r="CY25">
        <f>AB25</f>
        <v>796.25</v>
      </c>
      <c r="CZ25">
        <f>AF25</f>
        <v>111.99</v>
      </c>
      <c r="DA25">
        <f>AJ25</f>
        <v>7.11</v>
      </c>
      <c r="DB25">
        <v>0</v>
      </c>
    </row>
    <row r="26" spans="1:106" ht="12.75">
      <c r="A26">
        <f>ROW(Source!A110)</f>
        <v>110</v>
      </c>
      <c r="B26">
        <v>42253831</v>
      </c>
      <c r="C26">
        <v>42254746</v>
      </c>
      <c r="D26">
        <v>36883554</v>
      </c>
      <c r="E26">
        <v>1</v>
      </c>
      <c r="F26">
        <v>1</v>
      </c>
      <c r="G26">
        <v>1</v>
      </c>
      <c r="H26">
        <v>2</v>
      </c>
      <c r="I26" t="s">
        <v>498</v>
      </c>
      <c r="J26" t="s">
        <v>499</v>
      </c>
      <c r="K26" t="s">
        <v>500</v>
      </c>
      <c r="L26">
        <v>1368</v>
      </c>
      <c r="N26">
        <v>1011</v>
      </c>
      <c r="O26" t="s">
        <v>470</v>
      </c>
      <c r="P26" t="s">
        <v>470</v>
      </c>
      <c r="Q26">
        <v>1</v>
      </c>
      <c r="W26">
        <v>0</v>
      </c>
      <c r="X26">
        <v>1372534845</v>
      </c>
      <c r="Y26">
        <v>2.22</v>
      </c>
      <c r="AA26">
        <v>0</v>
      </c>
      <c r="AB26">
        <v>467.2</v>
      </c>
      <c r="AC26">
        <v>231.54</v>
      </c>
      <c r="AD26">
        <v>0</v>
      </c>
      <c r="AE26">
        <v>0</v>
      </c>
      <c r="AF26">
        <v>65.71</v>
      </c>
      <c r="AG26">
        <v>11.6</v>
      </c>
      <c r="AH26">
        <v>0</v>
      </c>
      <c r="AI26">
        <v>1</v>
      </c>
      <c r="AJ26">
        <v>7.11</v>
      </c>
      <c r="AK26">
        <v>19.96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2.22</v>
      </c>
      <c r="AV26">
        <v>0</v>
      </c>
      <c r="AW26">
        <v>2</v>
      </c>
      <c r="AX26">
        <v>42254760</v>
      </c>
      <c r="AY26">
        <v>1</v>
      </c>
      <c r="AZ26">
        <v>0</v>
      </c>
      <c r="BA26">
        <v>25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Y26*Source!I110</f>
        <v>2.22</v>
      </c>
      <c r="CY26">
        <f>AB26</f>
        <v>467.2</v>
      </c>
      <c r="CZ26">
        <f>AF26</f>
        <v>65.71</v>
      </c>
      <c r="DA26">
        <f>AJ26</f>
        <v>7.11</v>
      </c>
      <c r="DB26">
        <v>0</v>
      </c>
    </row>
    <row r="27" spans="1:106" ht="12.75">
      <c r="A27">
        <f>ROW(Source!A110)</f>
        <v>110</v>
      </c>
      <c r="B27">
        <v>42253831</v>
      </c>
      <c r="C27">
        <v>42254746</v>
      </c>
      <c r="D27">
        <v>36883858</v>
      </c>
      <c r="E27">
        <v>1</v>
      </c>
      <c r="F27">
        <v>1</v>
      </c>
      <c r="G27">
        <v>1</v>
      </c>
      <c r="H27">
        <v>2</v>
      </c>
      <c r="I27" t="s">
        <v>501</v>
      </c>
      <c r="J27" t="s">
        <v>502</v>
      </c>
      <c r="K27" t="s">
        <v>503</v>
      </c>
      <c r="L27">
        <v>1368</v>
      </c>
      <c r="N27">
        <v>1011</v>
      </c>
      <c r="O27" t="s">
        <v>470</v>
      </c>
      <c r="P27" t="s">
        <v>470</v>
      </c>
      <c r="Q27">
        <v>1</v>
      </c>
      <c r="W27">
        <v>0</v>
      </c>
      <c r="X27">
        <v>-353815937</v>
      </c>
      <c r="Y27">
        <v>2.34</v>
      </c>
      <c r="AA27">
        <v>0</v>
      </c>
      <c r="AB27">
        <v>57.59</v>
      </c>
      <c r="AC27">
        <v>0</v>
      </c>
      <c r="AD27">
        <v>0</v>
      </c>
      <c r="AE27">
        <v>0</v>
      </c>
      <c r="AF27">
        <v>8.1</v>
      </c>
      <c r="AG27">
        <v>0</v>
      </c>
      <c r="AH27">
        <v>0</v>
      </c>
      <c r="AI27">
        <v>1</v>
      </c>
      <c r="AJ27">
        <v>7.11</v>
      </c>
      <c r="AK27">
        <v>19.96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2.34</v>
      </c>
      <c r="AV27">
        <v>0</v>
      </c>
      <c r="AW27">
        <v>2</v>
      </c>
      <c r="AX27">
        <v>42254761</v>
      </c>
      <c r="AY27">
        <v>1</v>
      </c>
      <c r="AZ27">
        <v>0</v>
      </c>
      <c r="BA27">
        <v>26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Y27*Source!I110</f>
        <v>2.34</v>
      </c>
      <c r="CY27">
        <f>AB27</f>
        <v>57.59</v>
      </c>
      <c r="CZ27">
        <f>AF27</f>
        <v>8.1</v>
      </c>
      <c r="DA27">
        <f>AJ27</f>
        <v>7.11</v>
      </c>
      <c r="DB27">
        <v>0</v>
      </c>
    </row>
    <row r="28" spans="1:106" ht="12.75">
      <c r="A28">
        <f>ROW(Source!A110)</f>
        <v>110</v>
      </c>
      <c r="B28">
        <v>42253831</v>
      </c>
      <c r="C28">
        <v>42254746</v>
      </c>
      <c r="D28">
        <v>36799674</v>
      </c>
      <c r="E28">
        <v>1</v>
      </c>
      <c r="F28">
        <v>1</v>
      </c>
      <c r="G28">
        <v>1</v>
      </c>
      <c r="H28">
        <v>3</v>
      </c>
      <c r="I28" t="s">
        <v>504</v>
      </c>
      <c r="J28" t="s">
        <v>505</v>
      </c>
      <c r="K28" t="s">
        <v>506</v>
      </c>
      <c r="L28">
        <v>1348</v>
      </c>
      <c r="N28">
        <v>1009</v>
      </c>
      <c r="O28" t="s">
        <v>246</v>
      </c>
      <c r="P28" t="s">
        <v>246</v>
      </c>
      <c r="Q28">
        <v>1000</v>
      </c>
      <c r="W28">
        <v>0</v>
      </c>
      <c r="X28">
        <v>-951208328</v>
      </c>
      <c r="Y28">
        <v>0.0015</v>
      </c>
      <c r="AA28">
        <v>152537</v>
      </c>
      <c r="AB28">
        <v>0</v>
      </c>
      <c r="AC28">
        <v>0</v>
      </c>
      <c r="AD28">
        <v>0</v>
      </c>
      <c r="AE28">
        <v>26950</v>
      </c>
      <c r="AF28">
        <v>0</v>
      </c>
      <c r="AG28">
        <v>0</v>
      </c>
      <c r="AH28">
        <v>0</v>
      </c>
      <c r="AI28">
        <v>5.66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0.0015</v>
      </c>
      <c r="AV28">
        <v>0</v>
      </c>
      <c r="AW28">
        <v>2</v>
      </c>
      <c r="AX28">
        <v>42254762</v>
      </c>
      <c r="AY28">
        <v>1</v>
      </c>
      <c r="AZ28">
        <v>0</v>
      </c>
      <c r="BA28">
        <v>27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Y28*Source!I110</f>
        <v>0.0015</v>
      </c>
      <c r="CY28">
        <f>AA28</f>
        <v>152537</v>
      </c>
      <c r="CZ28">
        <f>AE28</f>
        <v>26950</v>
      </c>
      <c r="DA28">
        <f>AI28</f>
        <v>5.66</v>
      </c>
      <c r="DB28">
        <v>0</v>
      </c>
    </row>
    <row r="29" spans="1:106" ht="12.75">
      <c r="A29">
        <f>ROW(Source!A110)</f>
        <v>110</v>
      </c>
      <c r="B29">
        <v>42253831</v>
      </c>
      <c r="C29">
        <v>42254746</v>
      </c>
      <c r="D29">
        <v>36803258</v>
      </c>
      <c r="E29">
        <v>1</v>
      </c>
      <c r="F29">
        <v>1</v>
      </c>
      <c r="G29">
        <v>1</v>
      </c>
      <c r="H29">
        <v>3</v>
      </c>
      <c r="I29" t="s">
        <v>507</v>
      </c>
      <c r="J29" t="s">
        <v>508</v>
      </c>
      <c r="K29" t="s">
        <v>509</v>
      </c>
      <c r="L29">
        <v>1346</v>
      </c>
      <c r="N29">
        <v>1009</v>
      </c>
      <c r="O29" t="s">
        <v>386</v>
      </c>
      <c r="P29" t="s">
        <v>386</v>
      </c>
      <c r="Q29">
        <v>1</v>
      </c>
      <c r="W29">
        <v>0</v>
      </c>
      <c r="X29">
        <v>586013393</v>
      </c>
      <c r="Y29">
        <v>0.5</v>
      </c>
      <c r="AA29">
        <v>59.83</v>
      </c>
      <c r="AB29">
        <v>0</v>
      </c>
      <c r="AC29">
        <v>0</v>
      </c>
      <c r="AD29">
        <v>0</v>
      </c>
      <c r="AE29">
        <v>10.57</v>
      </c>
      <c r="AF29">
        <v>0</v>
      </c>
      <c r="AG29">
        <v>0</v>
      </c>
      <c r="AH29">
        <v>0</v>
      </c>
      <c r="AI29">
        <v>5.66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0.5</v>
      </c>
      <c r="AV29">
        <v>0</v>
      </c>
      <c r="AW29">
        <v>2</v>
      </c>
      <c r="AX29">
        <v>42254763</v>
      </c>
      <c r="AY29">
        <v>1</v>
      </c>
      <c r="AZ29">
        <v>0</v>
      </c>
      <c r="BA29">
        <v>28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Y29*Source!I110</f>
        <v>0.5</v>
      </c>
      <c r="CY29">
        <f>AA29</f>
        <v>59.83</v>
      </c>
      <c r="CZ29">
        <f>AE29</f>
        <v>10.57</v>
      </c>
      <c r="DA29">
        <f>AI29</f>
        <v>5.66</v>
      </c>
      <c r="DB29">
        <v>0</v>
      </c>
    </row>
    <row r="30" spans="1:106" ht="12.75">
      <c r="A30">
        <f>ROW(Source!A110)</f>
        <v>110</v>
      </c>
      <c r="B30">
        <v>42253831</v>
      </c>
      <c r="C30">
        <v>42254746</v>
      </c>
      <c r="D30">
        <v>36825981</v>
      </c>
      <c r="E30">
        <v>1</v>
      </c>
      <c r="F30">
        <v>1</v>
      </c>
      <c r="G30">
        <v>1</v>
      </c>
      <c r="H30">
        <v>3</v>
      </c>
      <c r="I30" t="s">
        <v>510</v>
      </c>
      <c r="J30" t="s">
        <v>511</v>
      </c>
      <c r="K30" t="s">
        <v>512</v>
      </c>
      <c r="L30">
        <v>1348</v>
      </c>
      <c r="N30">
        <v>1009</v>
      </c>
      <c r="O30" t="s">
        <v>246</v>
      </c>
      <c r="P30" t="s">
        <v>246</v>
      </c>
      <c r="Q30">
        <v>1000</v>
      </c>
      <c r="W30">
        <v>0</v>
      </c>
      <c r="X30">
        <v>-1598896989</v>
      </c>
      <c r="Y30">
        <v>0.009</v>
      </c>
      <c r="AA30">
        <v>28300</v>
      </c>
      <c r="AB30">
        <v>0</v>
      </c>
      <c r="AC30">
        <v>0</v>
      </c>
      <c r="AD30">
        <v>0</v>
      </c>
      <c r="AE30">
        <v>5000</v>
      </c>
      <c r="AF30">
        <v>0</v>
      </c>
      <c r="AG30">
        <v>0</v>
      </c>
      <c r="AH30">
        <v>0</v>
      </c>
      <c r="AI30">
        <v>5.66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0.009</v>
      </c>
      <c r="AV30">
        <v>0</v>
      </c>
      <c r="AW30">
        <v>2</v>
      </c>
      <c r="AX30">
        <v>42254764</v>
      </c>
      <c r="AY30">
        <v>1</v>
      </c>
      <c r="AZ30">
        <v>0</v>
      </c>
      <c r="BA30">
        <v>29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Y30*Source!I110</f>
        <v>0.009</v>
      </c>
      <c r="CY30">
        <f>AA30</f>
        <v>28300</v>
      </c>
      <c r="CZ30">
        <f>AE30</f>
        <v>5000</v>
      </c>
      <c r="DA30">
        <f>AI30</f>
        <v>5.66</v>
      </c>
      <c r="DB30">
        <v>0</v>
      </c>
    </row>
    <row r="31" spans="1:106" ht="12.75">
      <c r="A31">
        <f>ROW(Source!A110)</f>
        <v>110</v>
      </c>
      <c r="B31">
        <v>42253831</v>
      </c>
      <c r="C31">
        <v>42254746</v>
      </c>
      <c r="D31">
        <v>36838633</v>
      </c>
      <c r="E31">
        <v>1</v>
      </c>
      <c r="F31">
        <v>1</v>
      </c>
      <c r="G31">
        <v>1</v>
      </c>
      <c r="H31">
        <v>3</v>
      </c>
      <c r="I31" t="s">
        <v>513</v>
      </c>
      <c r="J31" t="s">
        <v>514</v>
      </c>
      <c r="K31" t="s">
        <v>515</v>
      </c>
      <c r="L31">
        <v>1348</v>
      </c>
      <c r="N31">
        <v>1009</v>
      </c>
      <c r="O31" t="s">
        <v>246</v>
      </c>
      <c r="P31" t="s">
        <v>246</v>
      </c>
      <c r="Q31">
        <v>1000</v>
      </c>
      <c r="W31">
        <v>0</v>
      </c>
      <c r="X31">
        <v>1219306956</v>
      </c>
      <c r="Y31">
        <v>0.00024</v>
      </c>
      <c r="AA31">
        <v>424500</v>
      </c>
      <c r="AB31">
        <v>0</v>
      </c>
      <c r="AC31">
        <v>0</v>
      </c>
      <c r="AD31">
        <v>0</v>
      </c>
      <c r="AE31">
        <v>75000</v>
      </c>
      <c r="AF31">
        <v>0</v>
      </c>
      <c r="AG31">
        <v>0</v>
      </c>
      <c r="AH31">
        <v>0</v>
      </c>
      <c r="AI31">
        <v>5.66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0.00024</v>
      </c>
      <c r="AV31">
        <v>0</v>
      </c>
      <c r="AW31">
        <v>2</v>
      </c>
      <c r="AX31">
        <v>42254765</v>
      </c>
      <c r="AY31">
        <v>1</v>
      </c>
      <c r="AZ31">
        <v>0</v>
      </c>
      <c r="BA31">
        <v>30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Y31*Source!I110</f>
        <v>0.00024</v>
      </c>
      <c r="CY31">
        <f>AA31</f>
        <v>424500</v>
      </c>
      <c r="CZ31">
        <f>AE31</f>
        <v>75000</v>
      </c>
      <c r="DA31">
        <f>AI31</f>
        <v>5.66</v>
      </c>
      <c r="DB31">
        <v>0</v>
      </c>
    </row>
    <row r="32" spans="1:106" ht="12.75">
      <c r="A32">
        <f>ROW(Source!A110)</f>
        <v>110</v>
      </c>
      <c r="B32">
        <v>42253831</v>
      </c>
      <c r="C32">
        <v>42254746</v>
      </c>
      <c r="D32">
        <v>36799065</v>
      </c>
      <c r="E32">
        <v>17</v>
      </c>
      <c r="F32">
        <v>1</v>
      </c>
      <c r="G32">
        <v>1</v>
      </c>
      <c r="H32">
        <v>3</v>
      </c>
      <c r="I32" t="s">
        <v>516</v>
      </c>
      <c r="K32" t="s">
        <v>517</v>
      </c>
      <c r="L32">
        <v>1374</v>
      </c>
      <c r="N32">
        <v>1013</v>
      </c>
      <c r="O32" t="s">
        <v>518</v>
      </c>
      <c r="P32" t="s">
        <v>518</v>
      </c>
      <c r="Q32">
        <v>1</v>
      </c>
      <c r="W32">
        <v>0</v>
      </c>
      <c r="X32">
        <v>-1731369543</v>
      </c>
      <c r="Y32">
        <v>8.14</v>
      </c>
      <c r="AA32">
        <v>19.96</v>
      </c>
      <c r="AB32">
        <v>0</v>
      </c>
      <c r="AC32">
        <v>0</v>
      </c>
      <c r="AD32">
        <v>0</v>
      </c>
      <c r="AE32">
        <v>1</v>
      </c>
      <c r="AF32">
        <v>0</v>
      </c>
      <c r="AG32">
        <v>0</v>
      </c>
      <c r="AH32">
        <v>0</v>
      </c>
      <c r="AI32">
        <v>19.96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8.14</v>
      </c>
      <c r="AV32">
        <v>0</v>
      </c>
      <c r="AW32">
        <v>2</v>
      </c>
      <c r="AX32">
        <v>42254766</v>
      </c>
      <c r="AY32">
        <v>1</v>
      </c>
      <c r="AZ32">
        <v>0</v>
      </c>
      <c r="BA32">
        <v>31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Y32*Source!I110</f>
        <v>8.14</v>
      </c>
      <c r="CY32">
        <f>AA32</f>
        <v>19.96</v>
      </c>
      <c r="CZ32">
        <f>AE32</f>
        <v>1</v>
      </c>
      <c r="DA32">
        <f>AI32</f>
        <v>19.96</v>
      </c>
      <c r="DB32">
        <v>0</v>
      </c>
    </row>
    <row r="33" spans="1:106" ht="12.75">
      <c r="A33">
        <f>ROW(Source!A112)</f>
        <v>112</v>
      </c>
      <c r="B33">
        <v>42253831</v>
      </c>
      <c r="C33">
        <v>42254768</v>
      </c>
      <c r="D33">
        <v>37071037</v>
      </c>
      <c r="E33">
        <v>1</v>
      </c>
      <c r="F33">
        <v>1</v>
      </c>
      <c r="G33">
        <v>1</v>
      </c>
      <c r="H33">
        <v>1</v>
      </c>
      <c r="I33" t="s">
        <v>493</v>
      </c>
      <c r="K33" t="s">
        <v>494</v>
      </c>
      <c r="L33">
        <v>1191</v>
      </c>
      <c r="N33">
        <v>1013</v>
      </c>
      <c r="O33" t="s">
        <v>462</v>
      </c>
      <c r="P33" t="s">
        <v>462</v>
      </c>
      <c r="Q33">
        <v>1</v>
      </c>
      <c r="W33">
        <v>0</v>
      </c>
      <c r="X33">
        <v>1069510174</v>
      </c>
      <c r="Y33">
        <v>30.1</v>
      </c>
      <c r="AA33">
        <v>0</v>
      </c>
      <c r="AB33">
        <v>0</v>
      </c>
      <c r="AC33">
        <v>0</v>
      </c>
      <c r="AD33">
        <v>192.02</v>
      </c>
      <c r="AE33">
        <v>0</v>
      </c>
      <c r="AF33">
        <v>0</v>
      </c>
      <c r="AG33">
        <v>0</v>
      </c>
      <c r="AH33">
        <v>9.62</v>
      </c>
      <c r="AI33">
        <v>1</v>
      </c>
      <c r="AJ33">
        <v>1</v>
      </c>
      <c r="AK33">
        <v>1</v>
      </c>
      <c r="AL33">
        <v>19.96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30.1</v>
      </c>
      <c r="AV33">
        <v>1</v>
      </c>
      <c r="AW33">
        <v>2</v>
      </c>
      <c r="AX33">
        <v>42254777</v>
      </c>
      <c r="AY33">
        <v>1</v>
      </c>
      <c r="AZ33">
        <v>0</v>
      </c>
      <c r="BA33">
        <v>32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Y33*Source!I112</f>
        <v>30.1</v>
      </c>
      <c r="CY33">
        <f>AD33</f>
        <v>192.02</v>
      </c>
      <c r="CZ33">
        <f>AH33</f>
        <v>9.62</v>
      </c>
      <c r="DA33">
        <f>AL33</f>
        <v>19.96</v>
      </c>
      <c r="DB33">
        <v>0</v>
      </c>
    </row>
    <row r="34" spans="1:106" ht="12.75">
      <c r="A34">
        <f>ROW(Source!A112)</f>
        <v>112</v>
      </c>
      <c r="B34">
        <v>42253831</v>
      </c>
      <c r="C34">
        <v>42254768</v>
      </c>
      <c r="D34">
        <v>37064876</v>
      </c>
      <c r="E34">
        <v>1</v>
      </c>
      <c r="F34">
        <v>1</v>
      </c>
      <c r="G34">
        <v>1</v>
      </c>
      <c r="H34">
        <v>1</v>
      </c>
      <c r="I34" t="s">
        <v>465</v>
      </c>
      <c r="K34" t="s">
        <v>466</v>
      </c>
      <c r="L34">
        <v>1191</v>
      </c>
      <c r="N34">
        <v>1013</v>
      </c>
      <c r="O34" t="s">
        <v>462</v>
      </c>
      <c r="P34" t="s">
        <v>462</v>
      </c>
      <c r="Q34">
        <v>1</v>
      </c>
      <c r="W34">
        <v>0</v>
      </c>
      <c r="X34">
        <v>-1417349443</v>
      </c>
      <c r="Y34">
        <v>9.44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19.96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9.44</v>
      </c>
      <c r="AV34">
        <v>2</v>
      </c>
      <c r="AW34">
        <v>2</v>
      </c>
      <c r="AX34">
        <v>42254778</v>
      </c>
      <c r="AY34">
        <v>1</v>
      </c>
      <c r="AZ34">
        <v>0</v>
      </c>
      <c r="BA34">
        <v>33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Y34*Source!I112</f>
        <v>9.44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ht="12.75">
      <c r="A35">
        <f>ROW(Source!A112)</f>
        <v>112</v>
      </c>
      <c r="B35">
        <v>42253831</v>
      </c>
      <c r="C35">
        <v>42254768</v>
      </c>
      <c r="D35">
        <v>36882159</v>
      </c>
      <c r="E35">
        <v>1</v>
      </c>
      <c r="F35">
        <v>1</v>
      </c>
      <c r="G35">
        <v>1</v>
      </c>
      <c r="H35">
        <v>2</v>
      </c>
      <c r="I35" t="s">
        <v>495</v>
      </c>
      <c r="J35" t="s">
        <v>496</v>
      </c>
      <c r="K35" t="s">
        <v>497</v>
      </c>
      <c r="L35">
        <v>1368</v>
      </c>
      <c r="N35">
        <v>1011</v>
      </c>
      <c r="O35" t="s">
        <v>470</v>
      </c>
      <c r="P35" t="s">
        <v>470</v>
      </c>
      <c r="Q35">
        <v>1</v>
      </c>
      <c r="W35">
        <v>0</v>
      </c>
      <c r="X35">
        <v>-1718674368</v>
      </c>
      <c r="Y35">
        <v>5.8</v>
      </c>
      <c r="AA35">
        <v>0</v>
      </c>
      <c r="AB35">
        <v>796.25</v>
      </c>
      <c r="AC35">
        <v>269.46</v>
      </c>
      <c r="AD35">
        <v>0</v>
      </c>
      <c r="AE35">
        <v>0</v>
      </c>
      <c r="AF35">
        <v>111.99</v>
      </c>
      <c r="AG35">
        <v>13.5</v>
      </c>
      <c r="AH35">
        <v>0</v>
      </c>
      <c r="AI35">
        <v>1</v>
      </c>
      <c r="AJ35">
        <v>7.11</v>
      </c>
      <c r="AK35">
        <v>19.96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5.8</v>
      </c>
      <c r="AV35">
        <v>0</v>
      </c>
      <c r="AW35">
        <v>2</v>
      </c>
      <c r="AX35">
        <v>42254779</v>
      </c>
      <c r="AY35">
        <v>1</v>
      </c>
      <c r="AZ35">
        <v>0</v>
      </c>
      <c r="BA35">
        <v>34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Y35*Source!I112</f>
        <v>5.8</v>
      </c>
      <c r="CY35">
        <f>AB35</f>
        <v>796.25</v>
      </c>
      <c r="CZ35">
        <f>AF35</f>
        <v>111.99</v>
      </c>
      <c r="DA35">
        <f>AJ35</f>
        <v>7.11</v>
      </c>
      <c r="DB35">
        <v>0</v>
      </c>
    </row>
    <row r="36" spans="1:106" ht="12.75">
      <c r="A36">
        <f>ROW(Source!A112)</f>
        <v>112</v>
      </c>
      <c r="B36">
        <v>42253831</v>
      </c>
      <c r="C36">
        <v>42254768</v>
      </c>
      <c r="D36">
        <v>36883554</v>
      </c>
      <c r="E36">
        <v>1</v>
      </c>
      <c r="F36">
        <v>1</v>
      </c>
      <c r="G36">
        <v>1</v>
      </c>
      <c r="H36">
        <v>2</v>
      </c>
      <c r="I36" t="s">
        <v>498</v>
      </c>
      <c r="J36" t="s">
        <v>499</v>
      </c>
      <c r="K36" t="s">
        <v>500</v>
      </c>
      <c r="L36">
        <v>1368</v>
      </c>
      <c r="N36">
        <v>1011</v>
      </c>
      <c r="O36" t="s">
        <v>470</v>
      </c>
      <c r="P36" t="s">
        <v>470</v>
      </c>
      <c r="Q36">
        <v>1</v>
      </c>
      <c r="W36">
        <v>0</v>
      </c>
      <c r="X36">
        <v>1372534845</v>
      </c>
      <c r="Y36">
        <v>3.64</v>
      </c>
      <c r="AA36">
        <v>0</v>
      </c>
      <c r="AB36">
        <v>467.2</v>
      </c>
      <c r="AC36">
        <v>231.54</v>
      </c>
      <c r="AD36">
        <v>0</v>
      </c>
      <c r="AE36">
        <v>0</v>
      </c>
      <c r="AF36">
        <v>65.71</v>
      </c>
      <c r="AG36">
        <v>11.6</v>
      </c>
      <c r="AH36">
        <v>0</v>
      </c>
      <c r="AI36">
        <v>1</v>
      </c>
      <c r="AJ36">
        <v>7.11</v>
      </c>
      <c r="AK36">
        <v>19.96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3.64</v>
      </c>
      <c r="AV36">
        <v>0</v>
      </c>
      <c r="AW36">
        <v>2</v>
      </c>
      <c r="AX36">
        <v>42254780</v>
      </c>
      <c r="AY36">
        <v>1</v>
      </c>
      <c r="AZ36">
        <v>0</v>
      </c>
      <c r="BA36">
        <v>35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Y36*Source!I112</f>
        <v>3.64</v>
      </c>
      <c r="CY36">
        <f>AB36</f>
        <v>467.2</v>
      </c>
      <c r="CZ36">
        <f>AF36</f>
        <v>65.71</v>
      </c>
      <c r="DA36">
        <f>AJ36</f>
        <v>7.11</v>
      </c>
      <c r="DB36">
        <v>0</v>
      </c>
    </row>
    <row r="37" spans="1:106" ht="12.75">
      <c r="A37">
        <f>ROW(Source!A112)</f>
        <v>112</v>
      </c>
      <c r="B37">
        <v>42253831</v>
      </c>
      <c r="C37">
        <v>42254768</v>
      </c>
      <c r="D37">
        <v>36804715</v>
      </c>
      <c r="E37">
        <v>1</v>
      </c>
      <c r="F37">
        <v>1</v>
      </c>
      <c r="G37">
        <v>1</v>
      </c>
      <c r="H37">
        <v>3</v>
      </c>
      <c r="I37" t="s">
        <v>519</v>
      </c>
      <c r="J37" t="s">
        <v>520</v>
      </c>
      <c r="K37" t="s">
        <v>521</v>
      </c>
      <c r="L37">
        <v>1346</v>
      </c>
      <c r="N37">
        <v>1009</v>
      </c>
      <c r="O37" t="s">
        <v>386</v>
      </c>
      <c r="P37" t="s">
        <v>386</v>
      </c>
      <c r="Q37">
        <v>1</v>
      </c>
      <c r="W37">
        <v>0</v>
      </c>
      <c r="X37">
        <v>-1473991445</v>
      </c>
      <c r="Y37">
        <v>10.5</v>
      </c>
      <c r="AA37">
        <v>36.22</v>
      </c>
      <c r="AB37">
        <v>0</v>
      </c>
      <c r="AC37">
        <v>0</v>
      </c>
      <c r="AD37">
        <v>0</v>
      </c>
      <c r="AE37">
        <v>6.4</v>
      </c>
      <c r="AF37">
        <v>0</v>
      </c>
      <c r="AG37">
        <v>0</v>
      </c>
      <c r="AH37">
        <v>0</v>
      </c>
      <c r="AI37">
        <v>5.66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10.5</v>
      </c>
      <c r="AV37">
        <v>0</v>
      </c>
      <c r="AW37">
        <v>2</v>
      </c>
      <c r="AX37">
        <v>42254781</v>
      </c>
      <c r="AY37">
        <v>1</v>
      </c>
      <c r="AZ37">
        <v>0</v>
      </c>
      <c r="BA37">
        <v>36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Y37*Source!I112</f>
        <v>10.5</v>
      </c>
      <c r="CY37">
        <f>AA37</f>
        <v>36.22</v>
      </c>
      <c r="CZ37">
        <f>AE37</f>
        <v>6.4</v>
      </c>
      <c r="DA37">
        <f>AI37</f>
        <v>5.66</v>
      </c>
      <c r="DB37">
        <v>0</v>
      </c>
    </row>
    <row r="38" spans="1:106" ht="12.75">
      <c r="A38">
        <f>ROW(Source!A112)</f>
        <v>112</v>
      </c>
      <c r="B38">
        <v>42253831</v>
      </c>
      <c r="C38">
        <v>42254768</v>
      </c>
      <c r="D38">
        <v>36870203</v>
      </c>
      <c r="E38">
        <v>1</v>
      </c>
      <c r="F38">
        <v>1</v>
      </c>
      <c r="G38">
        <v>1</v>
      </c>
      <c r="H38">
        <v>3</v>
      </c>
      <c r="I38" t="s">
        <v>522</v>
      </c>
      <c r="J38" t="s">
        <v>523</v>
      </c>
      <c r="K38" t="s">
        <v>524</v>
      </c>
      <c r="L38">
        <v>1354</v>
      </c>
      <c r="N38">
        <v>1010</v>
      </c>
      <c r="O38" t="s">
        <v>525</v>
      </c>
      <c r="P38" t="s">
        <v>525</v>
      </c>
      <c r="Q38">
        <v>1</v>
      </c>
      <c r="W38">
        <v>0</v>
      </c>
      <c r="X38">
        <v>-1204387898</v>
      </c>
      <c r="Y38">
        <v>15</v>
      </c>
      <c r="AA38">
        <v>241.12</v>
      </c>
      <c r="AB38">
        <v>0</v>
      </c>
      <c r="AC38">
        <v>0</v>
      </c>
      <c r="AD38">
        <v>0</v>
      </c>
      <c r="AE38">
        <v>42.6</v>
      </c>
      <c r="AF38">
        <v>0</v>
      </c>
      <c r="AG38">
        <v>0</v>
      </c>
      <c r="AH38">
        <v>0</v>
      </c>
      <c r="AI38">
        <v>5.66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15</v>
      </c>
      <c r="AV38">
        <v>0</v>
      </c>
      <c r="AW38">
        <v>2</v>
      </c>
      <c r="AX38">
        <v>42254782</v>
      </c>
      <c r="AY38">
        <v>1</v>
      </c>
      <c r="AZ38">
        <v>0</v>
      </c>
      <c r="BA38">
        <v>37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Y38*Source!I112</f>
        <v>15</v>
      </c>
      <c r="CY38">
        <f>AA38</f>
        <v>241.12</v>
      </c>
      <c r="CZ38">
        <f>AE38</f>
        <v>42.6</v>
      </c>
      <c r="DA38">
        <f>AI38</f>
        <v>5.66</v>
      </c>
      <c r="DB38">
        <v>0</v>
      </c>
    </row>
    <row r="39" spans="1:106" ht="12.75">
      <c r="A39">
        <f>ROW(Source!A112)</f>
        <v>112</v>
      </c>
      <c r="B39">
        <v>42253831</v>
      </c>
      <c r="C39">
        <v>42254768</v>
      </c>
      <c r="D39">
        <v>36799065</v>
      </c>
      <c r="E39">
        <v>17</v>
      </c>
      <c r="F39">
        <v>1</v>
      </c>
      <c r="G39">
        <v>1</v>
      </c>
      <c r="H39">
        <v>3</v>
      </c>
      <c r="I39" t="s">
        <v>516</v>
      </c>
      <c r="K39" t="s">
        <v>517</v>
      </c>
      <c r="L39">
        <v>1374</v>
      </c>
      <c r="N39">
        <v>1013</v>
      </c>
      <c r="O39" t="s">
        <v>518</v>
      </c>
      <c r="P39" t="s">
        <v>518</v>
      </c>
      <c r="Q39">
        <v>1</v>
      </c>
      <c r="W39">
        <v>0</v>
      </c>
      <c r="X39">
        <v>-1731369543</v>
      </c>
      <c r="Y39">
        <v>5.79</v>
      </c>
      <c r="AA39">
        <v>19.96</v>
      </c>
      <c r="AB39">
        <v>0</v>
      </c>
      <c r="AC39">
        <v>0</v>
      </c>
      <c r="AD39">
        <v>0</v>
      </c>
      <c r="AE39">
        <v>1</v>
      </c>
      <c r="AF39">
        <v>0</v>
      </c>
      <c r="AG39">
        <v>0</v>
      </c>
      <c r="AH39">
        <v>0</v>
      </c>
      <c r="AI39">
        <v>19.96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5.79</v>
      </c>
      <c r="AV39">
        <v>0</v>
      </c>
      <c r="AW39">
        <v>2</v>
      </c>
      <c r="AX39">
        <v>42254783</v>
      </c>
      <c r="AY39">
        <v>1</v>
      </c>
      <c r="AZ39">
        <v>0</v>
      </c>
      <c r="BA39">
        <v>38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Y39*Source!I112</f>
        <v>5.79</v>
      </c>
      <c r="CY39">
        <f>AA39</f>
        <v>19.96</v>
      </c>
      <c r="CZ39">
        <f>AE39</f>
        <v>1</v>
      </c>
      <c r="DA39">
        <f>AI39</f>
        <v>19.96</v>
      </c>
      <c r="DB39">
        <v>0</v>
      </c>
    </row>
    <row r="40" spans="1:106" ht="12.75">
      <c r="A40">
        <f>ROW(Source!A112)</f>
        <v>112</v>
      </c>
      <c r="B40">
        <v>42253831</v>
      </c>
      <c r="C40">
        <v>42254768</v>
      </c>
      <c r="D40">
        <v>0</v>
      </c>
      <c r="E40">
        <v>1</v>
      </c>
      <c r="F40">
        <v>1</v>
      </c>
      <c r="G40">
        <v>1</v>
      </c>
      <c r="H40">
        <v>3</v>
      </c>
      <c r="I40" t="s">
        <v>158</v>
      </c>
      <c r="K40" t="s">
        <v>170</v>
      </c>
      <c r="L40">
        <v>20310329</v>
      </c>
      <c r="N40">
        <v>1010</v>
      </c>
      <c r="O40" t="s">
        <v>160</v>
      </c>
      <c r="P40" t="s">
        <v>162</v>
      </c>
      <c r="Q40">
        <v>1</v>
      </c>
      <c r="W40">
        <v>0</v>
      </c>
      <c r="X40">
        <v>1040099185</v>
      </c>
      <c r="Y40">
        <v>2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3.93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T40">
        <v>2</v>
      </c>
      <c r="AV40">
        <v>0</v>
      </c>
      <c r="AW40">
        <v>1</v>
      </c>
      <c r="AX40">
        <v>-1</v>
      </c>
      <c r="AY40">
        <v>0</v>
      </c>
      <c r="AZ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Y40*Source!I112</f>
        <v>2</v>
      </c>
      <c r="CY40">
        <f>AA40</f>
        <v>0</v>
      </c>
      <c r="CZ40">
        <f>AE40</f>
        <v>0</v>
      </c>
      <c r="DA40">
        <f>AI40</f>
        <v>3.93</v>
      </c>
      <c r="DB40">
        <v>0</v>
      </c>
    </row>
    <row r="41" spans="1:106" ht="12.75">
      <c r="A41">
        <f>ROW(Source!A148)</f>
        <v>148</v>
      </c>
      <c r="B41">
        <v>42253831</v>
      </c>
      <c r="C41">
        <v>42254945</v>
      </c>
      <c r="D41">
        <v>37064998</v>
      </c>
      <c r="E41">
        <v>1</v>
      </c>
      <c r="F41">
        <v>1</v>
      </c>
      <c r="G41">
        <v>1</v>
      </c>
      <c r="H41">
        <v>1</v>
      </c>
      <c r="I41" t="s">
        <v>463</v>
      </c>
      <c r="K41" t="s">
        <v>464</v>
      </c>
      <c r="L41">
        <v>1191</v>
      </c>
      <c r="N41">
        <v>1013</v>
      </c>
      <c r="O41" t="s">
        <v>462</v>
      </c>
      <c r="P41" t="s">
        <v>462</v>
      </c>
      <c r="Q41">
        <v>1</v>
      </c>
      <c r="W41">
        <v>0</v>
      </c>
      <c r="X41">
        <v>735429535</v>
      </c>
      <c r="Y41">
        <v>154</v>
      </c>
      <c r="AA41">
        <v>0</v>
      </c>
      <c r="AB41">
        <v>0</v>
      </c>
      <c r="AC41">
        <v>0</v>
      </c>
      <c r="AD41">
        <v>155.69</v>
      </c>
      <c r="AE41">
        <v>0</v>
      </c>
      <c r="AF41">
        <v>0</v>
      </c>
      <c r="AG41">
        <v>0</v>
      </c>
      <c r="AH41">
        <v>7.8</v>
      </c>
      <c r="AI41">
        <v>1</v>
      </c>
      <c r="AJ41">
        <v>1</v>
      </c>
      <c r="AK41">
        <v>1</v>
      </c>
      <c r="AL41">
        <v>19.96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154</v>
      </c>
      <c r="AV41">
        <v>1</v>
      </c>
      <c r="AW41">
        <v>2</v>
      </c>
      <c r="AX41">
        <v>42254947</v>
      </c>
      <c r="AY41">
        <v>1</v>
      </c>
      <c r="AZ41">
        <v>0</v>
      </c>
      <c r="BA41">
        <v>39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Y41*Source!I148</f>
        <v>30.8</v>
      </c>
      <c r="CY41">
        <f>AD41</f>
        <v>155.69</v>
      </c>
      <c r="CZ41">
        <f>AH41</f>
        <v>7.8</v>
      </c>
      <c r="DA41">
        <f>AL41</f>
        <v>19.96</v>
      </c>
      <c r="DB41">
        <v>0</v>
      </c>
    </row>
    <row r="42" spans="1:106" ht="12.75">
      <c r="A42">
        <f>ROW(Source!A149)</f>
        <v>149</v>
      </c>
      <c r="B42">
        <v>42253831</v>
      </c>
      <c r="C42">
        <v>42254948</v>
      </c>
      <c r="D42">
        <v>37065248</v>
      </c>
      <c r="E42">
        <v>1</v>
      </c>
      <c r="F42">
        <v>1</v>
      </c>
      <c r="G42">
        <v>1</v>
      </c>
      <c r="H42">
        <v>1</v>
      </c>
      <c r="I42" t="s">
        <v>460</v>
      </c>
      <c r="K42" t="s">
        <v>461</v>
      </c>
      <c r="L42">
        <v>1191</v>
      </c>
      <c r="N42">
        <v>1013</v>
      </c>
      <c r="O42" t="s">
        <v>462</v>
      </c>
      <c r="P42" t="s">
        <v>462</v>
      </c>
      <c r="Q42">
        <v>1</v>
      </c>
      <c r="W42">
        <v>0</v>
      </c>
      <c r="X42">
        <v>-400197608</v>
      </c>
      <c r="Y42">
        <v>12.53</v>
      </c>
      <c r="AA42">
        <v>0</v>
      </c>
      <c r="AB42">
        <v>0</v>
      </c>
      <c r="AC42">
        <v>0</v>
      </c>
      <c r="AD42">
        <v>170.26</v>
      </c>
      <c r="AE42">
        <v>0</v>
      </c>
      <c r="AF42">
        <v>0</v>
      </c>
      <c r="AG42">
        <v>0</v>
      </c>
      <c r="AH42">
        <v>8.53</v>
      </c>
      <c r="AI42">
        <v>1</v>
      </c>
      <c r="AJ42">
        <v>1</v>
      </c>
      <c r="AK42">
        <v>1</v>
      </c>
      <c r="AL42">
        <v>19.96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12.53</v>
      </c>
      <c r="AV42">
        <v>1</v>
      </c>
      <c r="AW42">
        <v>2</v>
      </c>
      <c r="AX42">
        <v>42254953</v>
      </c>
      <c r="AY42">
        <v>1</v>
      </c>
      <c r="AZ42">
        <v>0</v>
      </c>
      <c r="BA42">
        <v>40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Y42*Source!I149</f>
        <v>1.2530000000000001</v>
      </c>
      <c r="CY42">
        <f>AD42</f>
        <v>170.26</v>
      </c>
      <c r="CZ42">
        <f>AH42</f>
        <v>8.53</v>
      </c>
      <c r="DA42">
        <f>AL42</f>
        <v>19.96</v>
      </c>
      <c r="DB42">
        <v>0</v>
      </c>
    </row>
    <row r="43" spans="1:106" ht="12.75">
      <c r="A43">
        <f>ROW(Source!A149)</f>
        <v>149</v>
      </c>
      <c r="B43">
        <v>42253831</v>
      </c>
      <c r="C43">
        <v>42254948</v>
      </c>
      <c r="D43">
        <v>37064876</v>
      </c>
      <c r="E43">
        <v>1</v>
      </c>
      <c r="F43">
        <v>1</v>
      </c>
      <c r="G43">
        <v>1</v>
      </c>
      <c r="H43">
        <v>1</v>
      </c>
      <c r="I43" t="s">
        <v>465</v>
      </c>
      <c r="K43" t="s">
        <v>466</v>
      </c>
      <c r="L43">
        <v>1191</v>
      </c>
      <c r="N43">
        <v>1013</v>
      </c>
      <c r="O43" t="s">
        <v>462</v>
      </c>
      <c r="P43" t="s">
        <v>462</v>
      </c>
      <c r="Q43">
        <v>1</v>
      </c>
      <c r="W43">
        <v>0</v>
      </c>
      <c r="X43">
        <v>-1417349443</v>
      </c>
      <c r="Y43">
        <v>3.04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19.96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3.04</v>
      </c>
      <c r="AV43">
        <v>2</v>
      </c>
      <c r="AW43">
        <v>2</v>
      </c>
      <c r="AX43">
        <v>42254954</v>
      </c>
      <c r="AY43">
        <v>1</v>
      </c>
      <c r="AZ43">
        <v>0</v>
      </c>
      <c r="BA43">
        <v>41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Y43*Source!I149</f>
        <v>0.30400000000000005</v>
      </c>
      <c r="CY43">
        <f>AD43</f>
        <v>0</v>
      </c>
      <c r="CZ43">
        <f>AH43</f>
        <v>0</v>
      </c>
      <c r="DA43">
        <f>AL43</f>
        <v>1</v>
      </c>
      <c r="DB43">
        <v>0</v>
      </c>
    </row>
    <row r="44" spans="1:106" ht="12.75">
      <c r="A44">
        <f>ROW(Source!A149)</f>
        <v>149</v>
      </c>
      <c r="B44">
        <v>42253831</v>
      </c>
      <c r="C44">
        <v>42254948</v>
      </c>
      <c r="D44">
        <v>36882890</v>
      </c>
      <c r="E44">
        <v>1</v>
      </c>
      <c r="F44">
        <v>1</v>
      </c>
      <c r="G44">
        <v>1</v>
      </c>
      <c r="H44">
        <v>2</v>
      </c>
      <c r="I44" t="s">
        <v>487</v>
      </c>
      <c r="J44" t="s">
        <v>488</v>
      </c>
      <c r="K44" t="s">
        <v>489</v>
      </c>
      <c r="L44">
        <v>1368</v>
      </c>
      <c r="N44">
        <v>1011</v>
      </c>
      <c r="O44" t="s">
        <v>470</v>
      </c>
      <c r="P44" t="s">
        <v>470</v>
      </c>
      <c r="Q44">
        <v>1</v>
      </c>
      <c r="W44">
        <v>0</v>
      </c>
      <c r="X44">
        <v>-1806095485</v>
      </c>
      <c r="Y44">
        <v>12.18</v>
      </c>
      <c r="AA44">
        <v>0</v>
      </c>
      <c r="AB44">
        <v>3.91</v>
      </c>
      <c r="AC44">
        <v>0</v>
      </c>
      <c r="AD44">
        <v>0</v>
      </c>
      <c r="AE44">
        <v>0</v>
      </c>
      <c r="AF44">
        <v>0.55</v>
      </c>
      <c r="AG44">
        <v>0</v>
      </c>
      <c r="AH44">
        <v>0</v>
      </c>
      <c r="AI44">
        <v>1</v>
      </c>
      <c r="AJ44">
        <v>7.11</v>
      </c>
      <c r="AK44">
        <v>19.96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12.18</v>
      </c>
      <c r="AV44">
        <v>0</v>
      </c>
      <c r="AW44">
        <v>2</v>
      </c>
      <c r="AX44">
        <v>42254955</v>
      </c>
      <c r="AY44">
        <v>1</v>
      </c>
      <c r="AZ44">
        <v>0</v>
      </c>
      <c r="BA44">
        <v>42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Y44*Source!I149</f>
        <v>1.218</v>
      </c>
      <c r="CY44">
        <f>AB44</f>
        <v>3.91</v>
      </c>
      <c r="CZ44">
        <f>AF44</f>
        <v>0.55</v>
      </c>
      <c r="DA44">
        <f>AJ44</f>
        <v>7.11</v>
      </c>
      <c r="DB44">
        <v>0</v>
      </c>
    </row>
    <row r="45" spans="1:106" ht="12.75">
      <c r="A45">
        <f>ROW(Source!A149)</f>
        <v>149</v>
      </c>
      <c r="B45">
        <v>42253831</v>
      </c>
      <c r="C45">
        <v>42254948</v>
      </c>
      <c r="D45">
        <v>36883878</v>
      </c>
      <c r="E45">
        <v>1</v>
      </c>
      <c r="F45">
        <v>1</v>
      </c>
      <c r="G45">
        <v>1</v>
      </c>
      <c r="H45">
        <v>2</v>
      </c>
      <c r="I45" t="s">
        <v>490</v>
      </c>
      <c r="J45" t="s">
        <v>491</v>
      </c>
      <c r="K45" t="s">
        <v>492</v>
      </c>
      <c r="L45">
        <v>1368</v>
      </c>
      <c r="N45">
        <v>1011</v>
      </c>
      <c r="O45" t="s">
        <v>470</v>
      </c>
      <c r="P45" t="s">
        <v>470</v>
      </c>
      <c r="Q45">
        <v>1</v>
      </c>
      <c r="W45">
        <v>0</v>
      </c>
      <c r="X45">
        <v>-514543984</v>
      </c>
      <c r="Y45">
        <v>3.04</v>
      </c>
      <c r="AA45">
        <v>0</v>
      </c>
      <c r="AB45">
        <v>639.9</v>
      </c>
      <c r="AC45">
        <v>200.8</v>
      </c>
      <c r="AD45">
        <v>0</v>
      </c>
      <c r="AE45">
        <v>0</v>
      </c>
      <c r="AF45">
        <v>90</v>
      </c>
      <c r="AG45">
        <v>10.06</v>
      </c>
      <c r="AH45">
        <v>0</v>
      </c>
      <c r="AI45">
        <v>1</v>
      </c>
      <c r="AJ45">
        <v>7.11</v>
      </c>
      <c r="AK45">
        <v>19.96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3.04</v>
      </c>
      <c r="AV45">
        <v>0</v>
      </c>
      <c r="AW45">
        <v>2</v>
      </c>
      <c r="AX45">
        <v>42254956</v>
      </c>
      <c r="AY45">
        <v>1</v>
      </c>
      <c r="AZ45">
        <v>0</v>
      </c>
      <c r="BA45">
        <v>43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Y45*Source!I149</f>
        <v>0.30400000000000005</v>
      </c>
      <c r="CY45">
        <f>AB45</f>
        <v>639.9</v>
      </c>
      <c r="CZ45">
        <f>AF45</f>
        <v>90</v>
      </c>
      <c r="DA45">
        <f>AJ45</f>
        <v>7.11</v>
      </c>
      <c r="DB45">
        <v>0</v>
      </c>
    </row>
    <row r="46" spans="1:106" ht="12.75">
      <c r="A46">
        <f>ROW(Source!A150)</f>
        <v>150</v>
      </c>
      <c r="B46">
        <v>42253831</v>
      </c>
      <c r="C46">
        <v>42254957</v>
      </c>
      <c r="D46">
        <v>37066491</v>
      </c>
      <c r="E46">
        <v>1</v>
      </c>
      <c r="F46">
        <v>1</v>
      </c>
      <c r="G46">
        <v>1</v>
      </c>
      <c r="H46">
        <v>1</v>
      </c>
      <c r="I46" t="s">
        <v>526</v>
      </c>
      <c r="K46" t="s">
        <v>527</v>
      </c>
      <c r="L46">
        <v>1191</v>
      </c>
      <c r="N46">
        <v>1013</v>
      </c>
      <c r="O46" t="s">
        <v>462</v>
      </c>
      <c r="P46" t="s">
        <v>462</v>
      </c>
      <c r="Q46">
        <v>1</v>
      </c>
      <c r="W46">
        <v>0</v>
      </c>
      <c r="X46">
        <v>-228054128</v>
      </c>
      <c r="Y46">
        <v>15.72</v>
      </c>
      <c r="AA46">
        <v>0</v>
      </c>
      <c r="AB46">
        <v>0</v>
      </c>
      <c r="AC46">
        <v>0</v>
      </c>
      <c r="AD46">
        <v>160.08</v>
      </c>
      <c r="AE46">
        <v>0</v>
      </c>
      <c r="AF46">
        <v>0</v>
      </c>
      <c r="AG46">
        <v>0</v>
      </c>
      <c r="AH46">
        <v>8.02</v>
      </c>
      <c r="AI46">
        <v>1</v>
      </c>
      <c r="AJ46">
        <v>1</v>
      </c>
      <c r="AK46">
        <v>1</v>
      </c>
      <c r="AL46">
        <v>19.96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15.72</v>
      </c>
      <c r="AV46">
        <v>1</v>
      </c>
      <c r="AW46">
        <v>2</v>
      </c>
      <c r="AX46">
        <v>42254966</v>
      </c>
      <c r="AY46">
        <v>1</v>
      </c>
      <c r="AZ46">
        <v>0</v>
      </c>
      <c r="BA46">
        <v>44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Y46*Source!I150</f>
        <v>7.86</v>
      </c>
      <c r="CY46">
        <f>AD46</f>
        <v>160.08</v>
      </c>
      <c r="CZ46">
        <f>AH46</f>
        <v>8.02</v>
      </c>
      <c r="DA46">
        <f>AL46</f>
        <v>19.96</v>
      </c>
      <c r="DB46">
        <v>0</v>
      </c>
    </row>
    <row r="47" spans="1:106" ht="12.75">
      <c r="A47">
        <f>ROW(Source!A150)</f>
        <v>150</v>
      </c>
      <c r="B47">
        <v>42253831</v>
      </c>
      <c r="C47">
        <v>42254957</v>
      </c>
      <c r="D47">
        <v>37064876</v>
      </c>
      <c r="E47">
        <v>1</v>
      </c>
      <c r="F47">
        <v>1</v>
      </c>
      <c r="G47">
        <v>1</v>
      </c>
      <c r="H47">
        <v>1</v>
      </c>
      <c r="I47" t="s">
        <v>465</v>
      </c>
      <c r="K47" t="s">
        <v>466</v>
      </c>
      <c r="L47">
        <v>1191</v>
      </c>
      <c r="N47">
        <v>1013</v>
      </c>
      <c r="O47" t="s">
        <v>462</v>
      </c>
      <c r="P47" t="s">
        <v>462</v>
      </c>
      <c r="Q47">
        <v>1</v>
      </c>
      <c r="W47">
        <v>0</v>
      </c>
      <c r="X47">
        <v>-1417349443</v>
      </c>
      <c r="Y47">
        <v>13.88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19.96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13.88</v>
      </c>
      <c r="AV47">
        <v>2</v>
      </c>
      <c r="AW47">
        <v>2</v>
      </c>
      <c r="AX47">
        <v>42254967</v>
      </c>
      <c r="AY47">
        <v>1</v>
      </c>
      <c r="AZ47">
        <v>0</v>
      </c>
      <c r="BA47">
        <v>45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Y47*Source!I150</f>
        <v>6.94</v>
      </c>
      <c r="CY47">
        <f>AD47</f>
        <v>0</v>
      </c>
      <c r="CZ47">
        <f>AH47</f>
        <v>0</v>
      </c>
      <c r="DA47">
        <f>AL47</f>
        <v>1</v>
      </c>
      <c r="DB47">
        <v>0</v>
      </c>
    </row>
    <row r="48" spans="1:106" ht="12.75">
      <c r="A48">
        <f>ROW(Source!A150)</f>
        <v>150</v>
      </c>
      <c r="B48">
        <v>42253831</v>
      </c>
      <c r="C48">
        <v>42254957</v>
      </c>
      <c r="D48">
        <v>36881380</v>
      </c>
      <c r="E48">
        <v>1</v>
      </c>
      <c r="F48">
        <v>1</v>
      </c>
      <c r="G48">
        <v>1</v>
      </c>
      <c r="H48">
        <v>2</v>
      </c>
      <c r="I48" t="s">
        <v>528</v>
      </c>
      <c r="J48" t="s">
        <v>529</v>
      </c>
      <c r="K48" t="s">
        <v>530</v>
      </c>
      <c r="L48">
        <v>1368</v>
      </c>
      <c r="N48">
        <v>1011</v>
      </c>
      <c r="O48" t="s">
        <v>470</v>
      </c>
      <c r="P48" t="s">
        <v>470</v>
      </c>
      <c r="Q48">
        <v>1</v>
      </c>
      <c r="W48">
        <v>0</v>
      </c>
      <c r="X48">
        <v>645023554</v>
      </c>
      <c r="Y48">
        <v>1.77</v>
      </c>
      <c r="AA48">
        <v>0</v>
      </c>
      <c r="AB48">
        <v>874.53</v>
      </c>
      <c r="AC48">
        <v>269.46</v>
      </c>
      <c r="AD48">
        <v>0</v>
      </c>
      <c r="AE48">
        <v>0</v>
      </c>
      <c r="AF48">
        <v>123</v>
      </c>
      <c r="AG48">
        <v>13.5</v>
      </c>
      <c r="AH48">
        <v>0</v>
      </c>
      <c r="AI48">
        <v>1</v>
      </c>
      <c r="AJ48">
        <v>7.11</v>
      </c>
      <c r="AK48">
        <v>19.96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1.77</v>
      </c>
      <c r="AV48">
        <v>0</v>
      </c>
      <c r="AW48">
        <v>2</v>
      </c>
      <c r="AX48">
        <v>42254968</v>
      </c>
      <c r="AY48">
        <v>1</v>
      </c>
      <c r="AZ48">
        <v>0</v>
      </c>
      <c r="BA48">
        <v>46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Y48*Source!I150</f>
        <v>0.885</v>
      </c>
      <c r="CY48">
        <f>AB48</f>
        <v>874.53</v>
      </c>
      <c r="CZ48">
        <f>AF48</f>
        <v>123</v>
      </c>
      <c r="DA48">
        <f>AJ48</f>
        <v>7.11</v>
      </c>
      <c r="DB48">
        <v>0</v>
      </c>
    </row>
    <row r="49" spans="1:106" ht="12.75">
      <c r="A49">
        <f>ROW(Source!A150)</f>
        <v>150</v>
      </c>
      <c r="B49">
        <v>42253831</v>
      </c>
      <c r="C49">
        <v>42254957</v>
      </c>
      <c r="D49">
        <v>36882383</v>
      </c>
      <c r="E49">
        <v>1</v>
      </c>
      <c r="F49">
        <v>1</v>
      </c>
      <c r="G49">
        <v>1</v>
      </c>
      <c r="H49">
        <v>2</v>
      </c>
      <c r="I49" t="s">
        <v>531</v>
      </c>
      <c r="J49" t="s">
        <v>532</v>
      </c>
      <c r="K49" t="s">
        <v>533</v>
      </c>
      <c r="L49">
        <v>1368</v>
      </c>
      <c r="N49">
        <v>1011</v>
      </c>
      <c r="O49" t="s">
        <v>470</v>
      </c>
      <c r="P49" t="s">
        <v>470</v>
      </c>
      <c r="Q49">
        <v>1</v>
      </c>
      <c r="W49">
        <v>0</v>
      </c>
      <c r="X49">
        <v>1225731627</v>
      </c>
      <c r="Y49">
        <v>4.29</v>
      </c>
      <c r="AA49">
        <v>0</v>
      </c>
      <c r="AB49">
        <v>639.83</v>
      </c>
      <c r="AC49">
        <v>200.8</v>
      </c>
      <c r="AD49">
        <v>0</v>
      </c>
      <c r="AE49">
        <v>0</v>
      </c>
      <c r="AF49">
        <v>89.99</v>
      </c>
      <c r="AG49">
        <v>10.06</v>
      </c>
      <c r="AH49">
        <v>0</v>
      </c>
      <c r="AI49">
        <v>1</v>
      </c>
      <c r="AJ49">
        <v>7.11</v>
      </c>
      <c r="AK49">
        <v>19.96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4.29</v>
      </c>
      <c r="AV49">
        <v>0</v>
      </c>
      <c r="AW49">
        <v>2</v>
      </c>
      <c r="AX49">
        <v>42254969</v>
      </c>
      <c r="AY49">
        <v>1</v>
      </c>
      <c r="AZ49">
        <v>0</v>
      </c>
      <c r="BA49">
        <v>47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Y49*Source!I150</f>
        <v>2.145</v>
      </c>
      <c r="CY49">
        <f>AB49</f>
        <v>639.83</v>
      </c>
      <c r="CZ49">
        <f>AF49</f>
        <v>89.99</v>
      </c>
      <c r="DA49">
        <f>AJ49</f>
        <v>7.11</v>
      </c>
      <c r="DB49">
        <v>0</v>
      </c>
    </row>
    <row r="50" spans="1:106" ht="12.75">
      <c r="A50">
        <f>ROW(Source!A150)</f>
        <v>150</v>
      </c>
      <c r="B50">
        <v>42253831</v>
      </c>
      <c r="C50">
        <v>42254957</v>
      </c>
      <c r="D50">
        <v>36882750</v>
      </c>
      <c r="E50">
        <v>1</v>
      </c>
      <c r="F50">
        <v>1</v>
      </c>
      <c r="G50">
        <v>1</v>
      </c>
      <c r="H50">
        <v>2</v>
      </c>
      <c r="I50" t="s">
        <v>534</v>
      </c>
      <c r="J50" t="s">
        <v>535</v>
      </c>
      <c r="K50" t="s">
        <v>536</v>
      </c>
      <c r="L50">
        <v>1368</v>
      </c>
      <c r="N50">
        <v>1011</v>
      </c>
      <c r="O50" t="s">
        <v>470</v>
      </c>
      <c r="P50" t="s">
        <v>470</v>
      </c>
      <c r="Q50">
        <v>1</v>
      </c>
      <c r="W50">
        <v>0</v>
      </c>
      <c r="X50">
        <v>1663826256</v>
      </c>
      <c r="Y50">
        <v>7.08</v>
      </c>
      <c r="AA50">
        <v>0</v>
      </c>
      <c r="AB50">
        <v>1464.73</v>
      </c>
      <c r="AC50">
        <v>287.42</v>
      </c>
      <c r="AD50">
        <v>0</v>
      </c>
      <c r="AE50">
        <v>0</v>
      </c>
      <c r="AF50">
        <v>206.01</v>
      </c>
      <c r="AG50">
        <v>14.4</v>
      </c>
      <c r="AH50">
        <v>0</v>
      </c>
      <c r="AI50">
        <v>1</v>
      </c>
      <c r="AJ50">
        <v>7.11</v>
      </c>
      <c r="AK50">
        <v>19.96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7.08</v>
      </c>
      <c r="AV50">
        <v>0</v>
      </c>
      <c r="AW50">
        <v>2</v>
      </c>
      <c r="AX50">
        <v>42254970</v>
      </c>
      <c r="AY50">
        <v>1</v>
      </c>
      <c r="AZ50">
        <v>0</v>
      </c>
      <c r="BA50">
        <v>48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Y50*Source!I150</f>
        <v>3.54</v>
      </c>
      <c r="CY50">
        <f>AB50</f>
        <v>1464.73</v>
      </c>
      <c r="CZ50">
        <f>AF50</f>
        <v>206.01</v>
      </c>
      <c r="DA50">
        <f>AJ50</f>
        <v>7.11</v>
      </c>
      <c r="DB50">
        <v>0</v>
      </c>
    </row>
    <row r="51" spans="1:106" ht="12.75">
      <c r="A51">
        <f>ROW(Source!A150)</f>
        <v>150</v>
      </c>
      <c r="B51">
        <v>42253831</v>
      </c>
      <c r="C51">
        <v>42254957</v>
      </c>
      <c r="D51">
        <v>36883483</v>
      </c>
      <c r="E51">
        <v>1</v>
      </c>
      <c r="F51">
        <v>1</v>
      </c>
      <c r="G51">
        <v>1</v>
      </c>
      <c r="H51">
        <v>2</v>
      </c>
      <c r="I51" t="s">
        <v>537</v>
      </c>
      <c r="J51" t="s">
        <v>538</v>
      </c>
      <c r="K51" t="s">
        <v>539</v>
      </c>
      <c r="L51">
        <v>1368</v>
      </c>
      <c r="N51">
        <v>1011</v>
      </c>
      <c r="O51" t="s">
        <v>470</v>
      </c>
      <c r="P51" t="s">
        <v>470</v>
      </c>
      <c r="Q51">
        <v>1</v>
      </c>
      <c r="W51">
        <v>0</v>
      </c>
      <c r="X51">
        <v>529073949</v>
      </c>
      <c r="Y51">
        <v>0.74</v>
      </c>
      <c r="AA51">
        <v>0</v>
      </c>
      <c r="AB51">
        <v>782.1</v>
      </c>
      <c r="AC51">
        <v>231.54</v>
      </c>
      <c r="AD51">
        <v>0</v>
      </c>
      <c r="AE51">
        <v>0</v>
      </c>
      <c r="AF51">
        <v>110</v>
      </c>
      <c r="AG51">
        <v>11.6</v>
      </c>
      <c r="AH51">
        <v>0</v>
      </c>
      <c r="AI51">
        <v>1</v>
      </c>
      <c r="AJ51">
        <v>7.11</v>
      </c>
      <c r="AK51">
        <v>19.96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0.74</v>
      </c>
      <c r="AV51">
        <v>0</v>
      </c>
      <c r="AW51">
        <v>2</v>
      </c>
      <c r="AX51">
        <v>42254971</v>
      </c>
      <c r="AY51">
        <v>1</v>
      </c>
      <c r="AZ51">
        <v>0</v>
      </c>
      <c r="BA51">
        <v>49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Y51*Source!I150</f>
        <v>0.37</v>
      </c>
      <c r="CY51">
        <f>AB51</f>
        <v>782.1</v>
      </c>
      <c r="CZ51">
        <f>AF51</f>
        <v>110</v>
      </c>
      <c r="DA51">
        <f>AJ51</f>
        <v>7.11</v>
      </c>
      <c r="DB51">
        <v>0</v>
      </c>
    </row>
    <row r="52" spans="1:106" ht="12.75">
      <c r="A52">
        <f>ROW(Source!A150)</f>
        <v>150</v>
      </c>
      <c r="B52">
        <v>42253831</v>
      </c>
      <c r="C52">
        <v>42254957</v>
      </c>
      <c r="D52">
        <v>36801792</v>
      </c>
      <c r="E52">
        <v>1</v>
      </c>
      <c r="F52">
        <v>1</v>
      </c>
      <c r="G52">
        <v>1</v>
      </c>
      <c r="H52">
        <v>3</v>
      </c>
      <c r="I52" t="s">
        <v>540</v>
      </c>
      <c r="J52" t="s">
        <v>541</v>
      </c>
      <c r="K52" t="s">
        <v>542</v>
      </c>
      <c r="L52">
        <v>1339</v>
      </c>
      <c r="N52">
        <v>1007</v>
      </c>
      <c r="O52" t="s">
        <v>140</v>
      </c>
      <c r="P52" t="s">
        <v>140</v>
      </c>
      <c r="Q52">
        <v>1</v>
      </c>
      <c r="W52">
        <v>0</v>
      </c>
      <c r="X52">
        <v>-1660354250</v>
      </c>
      <c r="Y52">
        <v>5</v>
      </c>
      <c r="AA52">
        <v>13.81</v>
      </c>
      <c r="AB52">
        <v>0</v>
      </c>
      <c r="AC52">
        <v>0</v>
      </c>
      <c r="AD52">
        <v>0</v>
      </c>
      <c r="AE52">
        <v>2.44</v>
      </c>
      <c r="AF52">
        <v>0</v>
      </c>
      <c r="AG52">
        <v>0</v>
      </c>
      <c r="AH52">
        <v>0</v>
      </c>
      <c r="AI52">
        <v>5.66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5</v>
      </c>
      <c r="AV52">
        <v>0</v>
      </c>
      <c r="AW52">
        <v>2</v>
      </c>
      <c r="AX52">
        <v>42254972</v>
      </c>
      <c r="AY52">
        <v>1</v>
      </c>
      <c r="AZ52">
        <v>0</v>
      </c>
      <c r="BA52">
        <v>50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Y52*Source!I150</f>
        <v>2.5</v>
      </c>
      <c r="CY52">
        <f>AA52</f>
        <v>13.81</v>
      </c>
      <c r="CZ52">
        <f>AE52</f>
        <v>2.44</v>
      </c>
      <c r="DA52">
        <f>AI52</f>
        <v>5.66</v>
      </c>
      <c r="DB52">
        <v>0</v>
      </c>
    </row>
    <row r="53" spans="1:106" ht="12.75">
      <c r="A53">
        <f>ROW(Source!A150)</f>
        <v>150</v>
      </c>
      <c r="B53">
        <v>42253831</v>
      </c>
      <c r="C53">
        <v>42254957</v>
      </c>
      <c r="D53">
        <v>36806289</v>
      </c>
      <c r="E53">
        <v>1</v>
      </c>
      <c r="F53">
        <v>1</v>
      </c>
      <c r="G53">
        <v>1</v>
      </c>
      <c r="H53">
        <v>3</v>
      </c>
      <c r="I53" t="s">
        <v>138</v>
      </c>
      <c r="J53" t="s">
        <v>141</v>
      </c>
      <c r="K53" t="s">
        <v>139</v>
      </c>
      <c r="L53">
        <v>1339</v>
      </c>
      <c r="N53">
        <v>1007</v>
      </c>
      <c r="O53" t="s">
        <v>140</v>
      </c>
      <c r="P53" t="s">
        <v>140</v>
      </c>
      <c r="Q53">
        <v>1</v>
      </c>
      <c r="W53">
        <v>0</v>
      </c>
      <c r="X53">
        <v>-35545874</v>
      </c>
      <c r="Y53">
        <v>100</v>
      </c>
      <c r="AA53">
        <v>312.77</v>
      </c>
      <c r="AB53">
        <v>0</v>
      </c>
      <c r="AC53">
        <v>0</v>
      </c>
      <c r="AD53">
        <v>0</v>
      </c>
      <c r="AE53">
        <v>55.26</v>
      </c>
      <c r="AF53">
        <v>0</v>
      </c>
      <c r="AG53">
        <v>0</v>
      </c>
      <c r="AH53">
        <v>0</v>
      </c>
      <c r="AI53">
        <v>5.66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T53">
        <v>100</v>
      </c>
      <c r="AV53">
        <v>0</v>
      </c>
      <c r="AW53">
        <v>1</v>
      </c>
      <c r="AX53">
        <v>-1</v>
      </c>
      <c r="AY53">
        <v>0</v>
      </c>
      <c r="AZ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Y53*Source!I150</f>
        <v>50</v>
      </c>
      <c r="CY53">
        <f>AA53</f>
        <v>312.77</v>
      </c>
      <c r="CZ53">
        <f>AE53</f>
        <v>55.26</v>
      </c>
      <c r="DA53">
        <f>AI53</f>
        <v>5.66</v>
      </c>
      <c r="DB53">
        <v>0</v>
      </c>
    </row>
    <row r="54" spans="1:106" ht="12.75">
      <c r="A54">
        <f>ROW(Source!A152)</f>
        <v>152</v>
      </c>
      <c r="B54">
        <v>42253831</v>
      </c>
      <c r="C54">
        <v>42254975</v>
      </c>
      <c r="D54">
        <v>37064998</v>
      </c>
      <c r="E54">
        <v>1</v>
      </c>
      <c r="F54">
        <v>1</v>
      </c>
      <c r="G54">
        <v>1</v>
      </c>
      <c r="H54">
        <v>1</v>
      </c>
      <c r="I54" t="s">
        <v>463</v>
      </c>
      <c r="K54" t="s">
        <v>464</v>
      </c>
      <c r="L54">
        <v>1191</v>
      </c>
      <c r="N54">
        <v>1013</v>
      </c>
      <c r="O54" t="s">
        <v>462</v>
      </c>
      <c r="P54" t="s">
        <v>462</v>
      </c>
      <c r="Q54">
        <v>1</v>
      </c>
      <c r="W54">
        <v>0</v>
      </c>
      <c r="X54">
        <v>735429535</v>
      </c>
      <c r="Y54">
        <v>180</v>
      </c>
      <c r="AA54">
        <v>0</v>
      </c>
      <c r="AB54">
        <v>0</v>
      </c>
      <c r="AC54">
        <v>0</v>
      </c>
      <c r="AD54">
        <v>155.69</v>
      </c>
      <c r="AE54">
        <v>0</v>
      </c>
      <c r="AF54">
        <v>0</v>
      </c>
      <c r="AG54">
        <v>0</v>
      </c>
      <c r="AH54">
        <v>7.8</v>
      </c>
      <c r="AI54">
        <v>1</v>
      </c>
      <c r="AJ54">
        <v>1</v>
      </c>
      <c r="AK54">
        <v>1</v>
      </c>
      <c r="AL54">
        <v>19.96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180</v>
      </c>
      <c r="AV54">
        <v>1</v>
      </c>
      <c r="AW54">
        <v>2</v>
      </c>
      <c r="AX54">
        <v>42254984</v>
      </c>
      <c r="AY54">
        <v>1</v>
      </c>
      <c r="AZ54">
        <v>0</v>
      </c>
      <c r="BA54">
        <v>52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Y54*Source!I152</f>
        <v>12.600000000000001</v>
      </c>
      <c r="CY54">
        <f>AD54</f>
        <v>155.69</v>
      </c>
      <c r="CZ54">
        <f>AH54</f>
        <v>7.8</v>
      </c>
      <c r="DA54">
        <f>AL54</f>
        <v>19.96</v>
      </c>
      <c r="DB54">
        <v>0</v>
      </c>
    </row>
    <row r="55" spans="1:106" ht="12.75">
      <c r="A55">
        <f>ROW(Source!A152)</f>
        <v>152</v>
      </c>
      <c r="B55">
        <v>42253831</v>
      </c>
      <c r="C55">
        <v>42254975</v>
      </c>
      <c r="D55">
        <v>37064876</v>
      </c>
      <c r="E55">
        <v>1</v>
      </c>
      <c r="F55">
        <v>1</v>
      </c>
      <c r="G55">
        <v>1</v>
      </c>
      <c r="H55">
        <v>1</v>
      </c>
      <c r="I55" t="s">
        <v>465</v>
      </c>
      <c r="K55" t="s">
        <v>466</v>
      </c>
      <c r="L55">
        <v>1191</v>
      </c>
      <c r="N55">
        <v>1013</v>
      </c>
      <c r="O55" t="s">
        <v>462</v>
      </c>
      <c r="P55" t="s">
        <v>462</v>
      </c>
      <c r="Q55">
        <v>1</v>
      </c>
      <c r="W55">
        <v>0</v>
      </c>
      <c r="X55">
        <v>-1417349443</v>
      </c>
      <c r="Y55">
        <v>18.13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19.96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18.13</v>
      </c>
      <c r="AV55">
        <v>2</v>
      </c>
      <c r="AW55">
        <v>2</v>
      </c>
      <c r="AX55">
        <v>42254985</v>
      </c>
      <c r="AY55">
        <v>1</v>
      </c>
      <c r="AZ55">
        <v>0</v>
      </c>
      <c r="BA55">
        <v>53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Y55*Source!I152</f>
        <v>1.2691000000000001</v>
      </c>
      <c r="CY55">
        <f>AD55</f>
        <v>0</v>
      </c>
      <c r="CZ55">
        <f>AH55</f>
        <v>0</v>
      </c>
      <c r="DA55">
        <f>AL55</f>
        <v>1</v>
      </c>
      <c r="DB55">
        <v>0</v>
      </c>
    </row>
    <row r="56" spans="1:106" ht="12.75">
      <c r="A56">
        <f>ROW(Source!A152)</f>
        <v>152</v>
      </c>
      <c r="B56">
        <v>42253831</v>
      </c>
      <c r="C56">
        <v>42254975</v>
      </c>
      <c r="D56">
        <v>36882057</v>
      </c>
      <c r="E56">
        <v>1</v>
      </c>
      <c r="F56">
        <v>1</v>
      </c>
      <c r="G56">
        <v>1</v>
      </c>
      <c r="H56">
        <v>2</v>
      </c>
      <c r="I56" t="s">
        <v>543</v>
      </c>
      <c r="J56" t="s">
        <v>544</v>
      </c>
      <c r="K56" t="s">
        <v>545</v>
      </c>
      <c r="L56">
        <v>1368</v>
      </c>
      <c r="N56">
        <v>1011</v>
      </c>
      <c r="O56" t="s">
        <v>470</v>
      </c>
      <c r="P56" t="s">
        <v>470</v>
      </c>
      <c r="Q56">
        <v>1</v>
      </c>
      <c r="W56">
        <v>0</v>
      </c>
      <c r="X56">
        <v>-1460065968</v>
      </c>
      <c r="Y56">
        <v>18</v>
      </c>
      <c r="AA56">
        <v>0</v>
      </c>
      <c r="AB56">
        <v>614.3</v>
      </c>
      <c r="AC56">
        <v>269.46</v>
      </c>
      <c r="AD56">
        <v>0</v>
      </c>
      <c r="AE56">
        <v>0</v>
      </c>
      <c r="AF56">
        <v>86.4</v>
      </c>
      <c r="AG56">
        <v>13.5</v>
      </c>
      <c r="AH56">
        <v>0</v>
      </c>
      <c r="AI56">
        <v>1</v>
      </c>
      <c r="AJ56">
        <v>7.11</v>
      </c>
      <c r="AK56">
        <v>19.96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18</v>
      </c>
      <c r="AV56">
        <v>0</v>
      </c>
      <c r="AW56">
        <v>2</v>
      </c>
      <c r="AX56">
        <v>42254986</v>
      </c>
      <c r="AY56">
        <v>1</v>
      </c>
      <c r="AZ56">
        <v>0</v>
      </c>
      <c r="BA56">
        <v>54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Y56*Source!I152</f>
        <v>1.2600000000000002</v>
      </c>
      <c r="CY56">
        <f>AB56</f>
        <v>614.3</v>
      </c>
      <c r="CZ56">
        <f>AF56</f>
        <v>86.4</v>
      </c>
      <c r="DA56">
        <f>AJ56</f>
        <v>7.11</v>
      </c>
      <c r="DB56">
        <v>0</v>
      </c>
    </row>
    <row r="57" spans="1:106" ht="12.75">
      <c r="A57">
        <f>ROW(Source!A152)</f>
        <v>152</v>
      </c>
      <c r="B57">
        <v>42253831</v>
      </c>
      <c r="C57">
        <v>42254975</v>
      </c>
      <c r="D57">
        <v>36882569</v>
      </c>
      <c r="E57">
        <v>1</v>
      </c>
      <c r="F57">
        <v>1</v>
      </c>
      <c r="G57">
        <v>1</v>
      </c>
      <c r="H57">
        <v>2</v>
      </c>
      <c r="I57" t="s">
        <v>546</v>
      </c>
      <c r="J57" t="s">
        <v>547</v>
      </c>
      <c r="K57" t="s">
        <v>548</v>
      </c>
      <c r="L57">
        <v>1368</v>
      </c>
      <c r="N57">
        <v>1011</v>
      </c>
      <c r="O57" t="s">
        <v>470</v>
      </c>
      <c r="P57" t="s">
        <v>470</v>
      </c>
      <c r="Q57">
        <v>1</v>
      </c>
      <c r="W57">
        <v>0</v>
      </c>
      <c r="X57">
        <v>126902709</v>
      </c>
      <c r="Y57">
        <v>48</v>
      </c>
      <c r="AA57">
        <v>0</v>
      </c>
      <c r="AB57">
        <v>3.56</v>
      </c>
      <c r="AC57">
        <v>0</v>
      </c>
      <c r="AD57">
        <v>0</v>
      </c>
      <c r="AE57">
        <v>0</v>
      </c>
      <c r="AF57">
        <v>0.5</v>
      </c>
      <c r="AG57">
        <v>0</v>
      </c>
      <c r="AH57">
        <v>0</v>
      </c>
      <c r="AI57">
        <v>1</v>
      </c>
      <c r="AJ57">
        <v>7.11</v>
      </c>
      <c r="AK57">
        <v>19.96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48</v>
      </c>
      <c r="AV57">
        <v>0</v>
      </c>
      <c r="AW57">
        <v>2</v>
      </c>
      <c r="AX57">
        <v>42254987</v>
      </c>
      <c r="AY57">
        <v>1</v>
      </c>
      <c r="AZ57">
        <v>0</v>
      </c>
      <c r="BA57">
        <v>55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Y57*Source!I152</f>
        <v>3.3600000000000003</v>
      </c>
      <c r="CY57">
        <f>AB57</f>
        <v>3.56</v>
      </c>
      <c r="CZ57">
        <f>AF57</f>
        <v>0.5</v>
      </c>
      <c r="DA57">
        <f>AJ57</f>
        <v>7.11</v>
      </c>
      <c r="DB57">
        <v>0</v>
      </c>
    </row>
    <row r="58" spans="1:106" ht="12.75">
      <c r="A58">
        <f>ROW(Source!A152)</f>
        <v>152</v>
      </c>
      <c r="B58">
        <v>42253831</v>
      </c>
      <c r="C58">
        <v>42254975</v>
      </c>
      <c r="D58">
        <v>36883554</v>
      </c>
      <c r="E58">
        <v>1</v>
      </c>
      <c r="F58">
        <v>1</v>
      </c>
      <c r="G58">
        <v>1</v>
      </c>
      <c r="H58">
        <v>2</v>
      </c>
      <c r="I58" t="s">
        <v>498</v>
      </c>
      <c r="J58" t="s">
        <v>499</v>
      </c>
      <c r="K58" t="s">
        <v>500</v>
      </c>
      <c r="L58">
        <v>1368</v>
      </c>
      <c r="N58">
        <v>1011</v>
      </c>
      <c r="O58" t="s">
        <v>470</v>
      </c>
      <c r="P58" t="s">
        <v>470</v>
      </c>
      <c r="Q58">
        <v>1</v>
      </c>
      <c r="W58">
        <v>0</v>
      </c>
      <c r="X58">
        <v>1372534845</v>
      </c>
      <c r="Y58">
        <v>0.13</v>
      </c>
      <c r="AA58">
        <v>0</v>
      </c>
      <c r="AB58">
        <v>467.2</v>
      </c>
      <c r="AC58">
        <v>231.54</v>
      </c>
      <c r="AD58">
        <v>0</v>
      </c>
      <c r="AE58">
        <v>0</v>
      </c>
      <c r="AF58">
        <v>65.71</v>
      </c>
      <c r="AG58">
        <v>11.6</v>
      </c>
      <c r="AH58">
        <v>0</v>
      </c>
      <c r="AI58">
        <v>1</v>
      </c>
      <c r="AJ58">
        <v>7.11</v>
      </c>
      <c r="AK58">
        <v>19.96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0.13</v>
      </c>
      <c r="AV58">
        <v>0</v>
      </c>
      <c r="AW58">
        <v>2</v>
      </c>
      <c r="AX58">
        <v>42254988</v>
      </c>
      <c r="AY58">
        <v>1</v>
      </c>
      <c r="AZ58">
        <v>0</v>
      </c>
      <c r="BA58">
        <v>56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Y58*Source!I152</f>
        <v>0.0091</v>
      </c>
      <c r="CY58">
        <f>AB58</f>
        <v>467.2</v>
      </c>
      <c r="CZ58">
        <f>AF58</f>
        <v>65.71</v>
      </c>
      <c r="DA58">
        <f>AJ58</f>
        <v>7.11</v>
      </c>
      <c r="DB58">
        <v>0</v>
      </c>
    </row>
    <row r="59" spans="1:106" ht="12.75">
      <c r="A59">
        <f>ROW(Source!A152)</f>
        <v>152</v>
      </c>
      <c r="B59">
        <v>42253831</v>
      </c>
      <c r="C59">
        <v>42254975</v>
      </c>
      <c r="D59">
        <v>36801792</v>
      </c>
      <c r="E59">
        <v>1</v>
      </c>
      <c r="F59">
        <v>1</v>
      </c>
      <c r="G59">
        <v>1</v>
      </c>
      <c r="H59">
        <v>3</v>
      </c>
      <c r="I59" t="s">
        <v>540</v>
      </c>
      <c r="J59" t="s">
        <v>541</v>
      </c>
      <c r="K59" t="s">
        <v>542</v>
      </c>
      <c r="L59">
        <v>1339</v>
      </c>
      <c r="N59">
        <v>1007</v>
      </c>
      <c r="O59" t="s">
        <v>140</v>
      </c>
      <c r="P59" t="s">
        <v>140</v>
      </c>
      <c r="Q59">
        <v>1</v>
      </c>
      <c r="W59">
        <v>0</v>
      </c>
      <c r="X59">
        <v>-1660354250</v>
      </c>
      <c r="Y59">
        <v>0.2</v>
      </c>
      <c r="AA59">
        <v>13.81</v>
      </c>
      <c r="AB59">
        <v>0</v>
      </c>
      <c r="AC59">
        <v>0</v>
      </c>
      <c r="AD59">
        <v>0</v>
      </c>
      <c r="AE59">
        <v>2.44</v>
      </c>
      <c r="AF59">
        <v>0</v>
      </c>
      <c r="AG59">
        <v>0</v>
      </c>
      <c r="AH59">
        <v>0</v>
      </c>
      <c r="AI59">
        <v>5.66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0.2</v>
      </c>
      <c r="AV59">
        <v>0</v>
      </c>
      <c r="AW59">
        <v>2</v>
      </c>
      <c r="AX59">
        <v>42254989</v>
      </c>
      <c r="AY59">
        <v>1</v>
      </c>
      <c r="AZ59">
        <v>0</v>
      </c>
      <c r="BA59">
        <v>57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Y59*Source!I152</f>
        <v>0.014000000000000002</v>
      </c>
      <c r="CY59">
        <f>AA59</f>
        <v>13.81</v>
      </c>
      <c r="CZ59">
        <f>AE59</f>
        <v>2.44</v>
      </c>
      <c r="DA59">
        <f>AI59</f>
        <v>5.66</v>
      </c>
      <c r="DB59">
        <v>0</v>
      </c>
    </row>
    <row r="60" spans="1:106" ht="12.75">
      <c r="A60">
        <f>ROW(Source!A152)</f>
        <v>152</v>
      </c>
      <c r="B60">
        <v>42253831</v>
      </c>
      <c r="C60">
        <v>42254975</v>
      </c>
      <c r="D60">
        <v>36802304</v>
      </c>
      <c r="E60">
        <v>1</v>
      </c>
      <c r="F60">
        <v>1</v>
      </c>
      <c r="G60">
        <v>1</v>
      </c>
      <c r="H60">
        <v>3</v>
      </c>
      <c r="I60" t="s">
        <v>549</v>
      </c>
      <c r="J60" t="s">
        <v>550</v>
      </c>
      <c r="K60" t="s">
        <v>551</v>
      </c>
      <c r="L60">
        <v>1327</v>
      </c>
      <c r="N60">
        <v>1005</v>
      </c>
      <c r="O60" t="s">
        <v>552</v>
      </c>
      <c r="P60" t="s">
        <v>552</v>
      </c>
      <c r="Q60">
        <v>1</v>
      </c>
      <c r="W60">
        <v>0</v>
      </c>
      <c r="X60">
        <v>440019653</v>
      </c>
      <c r="Y60">
        <v>250</v>
      </c>
      <c r="AA60">
        <v>20.49</v>
      </c>
      <c r="AB60">
        <v>0</v>
      </c>
      <c r="AC60">
        <v>0</v>
      </c>
      <c r="AD60">
        <v>0</v>
      </c>
      <c r="AE60">
        <v>3.62</v>
      </c>
      <c r="AF60">
        <v>0</v>
      </c>
      <c r="AG60">
        <v>0</v>
      </c>
      <c r="AH60">
        <v>0</v>
      </c>
      <c r="AI60">
        <v>5.66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250</v>
      </c>
      <c r="AV60">
        <v>0</v>
      </c>
      <c r="AW60">
        <v>2</v>
      </c>
      <c r="AX60">
        <v>42254990</v>
      </c>
      <c r="AY60">
        <v>1</v>
      </c>
      <c r="AZ60">
        <v>0</v>
      </c>
      <c r="BA60">
        <v>58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Y60*Source!I152</f>
        <v>17.5</v>
      </c>
      <c r="CY60">
        <f>AA60</f>
        <v>20.49</v>
      </c>
      <c r="CZ60">
        <f>AE60</f>
        <v>3.62</v>
      </c>
      <c r="DA60">
        <f>AI60</f>
        <v>5.66</v>
      </c>
      <c r="DB60">
        <v>0</v>
      </c>
    </row>
    <row r="61" spans="1:106" ht="12.75">
      <c r="A61">
        <f>ROW(Source!A152)</f>
        <v>152</v>
      </c>
      <c r="B61">
        <v>42253831</v>
      </c>
      <c r="C61">
        <v>42254975</v>
      </c>
      <c r="D61">
        <v>36807113</v>
      </c>
      <c r="E61">
        <v>1</v>
      </c>
      <c r="F61">
        <v>1</v>
      </c>
      <c r="G61">
        <v>1</v>
      </c>
      <c r="H61">
        <v>3</v>
      </c>
      <c r="I61" t="s">
        <v>192</v>
      </c>
      <c r="J61" t="s">
        <v>194</v>
      </c>
      <c r="K61" t="s">
        <v>193</v>
      </c>
      <c r="L61">
        <v>1339</v>
      </c>
      <c r="N61">
        <v>1007</v>
      </c>
      <c r="O61" t="s">
        <v>140</v>
      </c>
      <c r="P61" t="s">
        <v>140</v>
      </c>
      <c r="Q61">
        <v>1</v>
      </c>
      <c r="W61">
        <v>0</v>
      </c>
      <c r="X61">
        <v>-481738122</v>
      </c>
      <c r="Y61">
        <v>102</v>
      </c>
      <c r="AA61">
        <v>3763.9</v>
      </c>
      <c r="AB61">
        <v>0</v>
      </c>
      <c r="AC61">
        <v>0</v>
      </c>
      <c r="AD61">
        <v>0</v>
      </c>
      <c r="AE61">
        <v>665</v>
      </c>
      <c r="AF61">
        <v>0</v>
      </c>
      <c r="AG61">
        <v>0</v>
      </c>
      <c r="AH61">
        <v>0</v>
      </c>
      <c r="AI61">
        <v>5.66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T61">
        <v>102</v>
      </c>
      <c r="AV61">
        <v>0</v>
      </c>
      <c r="AW61">
        <v>1</v>
      </c>
      <c r="AX61">
        <v>-1</v>
      </c>
      <c r="AY61">
        <v>0</v>
      </c>
      <c r="AZ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Y61*Source!I152</f>
        <v>7.140000000000001</v>
      </c>
      <c r="CY61">
        <f>AA61</f>
        <v>3763.9</v>
      </c>
      <c r="CZ61">
        <f>AE61</f>
        <v>665</v>
      </c>
      <c r="DA61">
        <f>AI61</f>
        <v>5.66</v>
      </c>
      <c r="DB61">
        <v>0</v>
      </c>
    </row>
    <row r="62" spans="1:106" ht="12.75">
      <c r="A62">
        <f>ROW(Source!A154)</f>
        <v>154</v>
      </c>
      <c r="B62">
        <v>42253831</v>
      </c>
      <c r="C62">
        <v>42254993</v>
      </c>
      <c r="D62">
        <v>37070495</v>
      </c>
      <c r="E62">
        <v>1</v>
      </c>
      <c r="F62">
        <v>1</v>
      </c>
      <c r="G62">
        <v>1</v>
      </c>
      <c r="H62">
        <v>1</v>
      </c>
      <c r="I62" t="s">
        <v>553</v>
      </c>
      <c r="K62" t="s">
        <v>554</v>
      </c>
      <c r="L62">
        <v>1191</v>
      </c>
      <c r="N62">
        <v>1013</v>
      </c>
      <c r="O62" t="s">
        <v>462</v>
      </c>
      <c r="P62" t="s">
        <v>462</v>
      </c>
      <c r="Q62">
        <v>1</v>
      </c>
      <c r="W62">
        <v>0</v>
      </c>
      <c r="X62">
        <v>-784637506</v>
      </c>
      <c r="Y62">
        <v>52.84</v>
      </c>
      <c r="AA62">
        <v>0</v>
      </c>
      <c r="AB62">
        <v>0</v>
      </c>
      <c r="AC62">
        <v>0</v>
      </c>
      <c r="AD62">
        <v>174.45</v>
      </c>
      <c r="AE62">
        <v>0</v>
      </c>
      <c r="AF62">
        <v>0</v>
      </c>
      <c r="AG62">
        <v>0</v>
      </c>
      <c r="AH62">
        <v>8.74</v>
      </c>
      <c r="AI62">
        <v>1</v>
      </c>
      <c r="AJ62">
        <v>1</v>
      </c>
      <c r="AK62">
        <v>1</v>
      </c>
      <c r="AL62">
        <v>19.96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52.84</v>
      </c>
      <c r="AV62">
        <v>1</v>
      </c>
      <c r="AW62">
        <v>2</v>
      </c>
      <c r="AX62">
        <v>42255003</v>
      </c>
      <c r="AY62">
        <v>1</v>
      </c>
      <c r="AZ62">
        <v>0</v>
      </c>
      <c r="BA62">
        <v>60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Y62*Source!I154</f>
        <v>11.6248</v>
      </c>
      <c r="CY62">
        <f>AD62</f>
        <v>174.45</v>
      </c>
      <c r="CZ62">
        <f>AH62</f>
        <v>8.74</v>
      </c>
      <c r="DA62">
        <f>AL62</f>
        <v>19.96</v>
      </c>
      <c r="DB62">
        <v>0</v>
      </c>
    </row>
    <row r="63" spans="1:106" ht="12.75">
      <c r="A63">
        <f>ROW(Source!A154)</f>
        <v>154</v>
      </c>
      <c r="B63">
        <v>42253831</v>
      </c>
      <c r="C63">
        <v>42254993</v>
      </c>
      <c r="D63">
        <v>37064876</v>
      </c>
      <c r="E63">
        <v>1</v>
      </c>
      <c r="F63">
        <v>1</v>
      </c>
      <c r="G63">
        <v>1</v>
      </c>
      <c r="H63">
        <v>1</v>
      </c>
      <c r="I63" t="s">
        <v>465</v>
      </c>
      <c r="K63" t="s">
        <v>466</v>
      </c>
      <c r="L63">
        <v>1191</v>
      </c>
      <c r="N63">
        <v>1013</v>
      </c>
      <c r="O63" t="s">
        <v>462</v>
      </c>
      <c r="P63" t="s">
        <v>462</v>
      </c>
      <c r="Q63">
        <v>1</v>
      </c>
      <c r="W63">
        <v>0</v>
      </c>
      <c r="X63">
        <v>-1417349443</v>
      </c>
      <c r="Y63">
        <v>21.48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19.96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21.48</v>
      </c>
      <c r="AV63">
        <v>2</v>
      </c>
      <c r="AW63">
        <v>2</v>
      </c>
      <c r="AX63">
        <v>42255004</v>
      </c>
      <c r="AY63">
        <v>1</v>
      </c>
      <c r="AZ63">
        <v>0</v>
      </c>
      <c r="BA63">
        <v>61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Y63*Source!I154</f>
        <v>4.7256</v>
      </c>
      <c r="CY63">
        <f>AD63</f>
        <v>0</v>
      </c>
      <c r="CZ63">
        <f>AH63</f>
        <v>0</v>
      </c>
      <c r="DA63">
        <f>AL63</f>
        <v>1</v>
      </c>
      <c r="DB63">
        <v>0</v>
      </c>
    </row>
    <row r="64" spans="1:106" ht="12.75">
      <c r="A64">
        <f>ROW(Source!A154)</f>
        <v>154</v>
      </c>
      <c r="B64">
        <v>42253831</v>
      </c>
      <c r="C64">
        <v>42254993</v>
      </c>
      <c r="D64">
        <v>36882159</v>
      </c>
      <c r="E64">
        <v>1</v>
      </c>
      <c r="F64">
        <v>1</v>
      </c>
      <c r="G64">
        <v>1</v>
      </c>
      <c r="H64">
        <v>2</v>
      </c>
      <c r="I64" t="s">
        <v>495</v>
      </c>
      <c r="J64" t="s">
        <v>496</v>
      </c>
      <c r="K64" t="s">
        <v>497</v>
      </c>
      <c r="L64">
        <v>1368</v>
      </c>
      <c r="N64">
        <v>1011</v>
      </c>
      <c r="O64" t="s">
        <v>470</v>
      </c>
      <c r="P64" t="s">
        <v>470</v>
      </c>
      <c r="Q64">
        <v>1</v>
      </c>
      <c r="W64">
        <v>0</v>
      </c>
      <c r="X64">
        <v>-1718674368</v>
      </c>
      <c r="Y64">
        <v>2.63</v>
      </c>
      <c r="AA64">
        <v>0</v>
      </c>
      <c r="AB64">
        <v>796.25</v>
      </c>
      <c r="AC64">
        <v>269.46</v>
      </c>
      <c r="AD64">
        <v>0</v>
      </c>
      <c r="AE64">
        <v>0</v>
      </c>
      <c r="AF64">
        <v>111.99</v>
      </c>
      <c r="AG64">
        <v>13.5</v>
      </c>
      <c r="AH64">
        <v>0</v>
      </c>
      <c r="AI64">
        <v>1</v>
      </c>
      <c r="AJ64">
        <v>7.11</v>
      </c>
      <c r="AK64">
        <v>19.96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2.63</v>
      </c>
      <c r="AV64">
        <v>0</v>
      </c>
      <c r="AW64">
        <v>2</v>
      </c>
      <c r="AX64">
        <v>42255005</v>
      </c>
      <c r="AY64">
        <v>1</v>
      </c>
      <c r="AZ64">
        <v>0</v>
      </c>
      <c r="BA64">
        <v>62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Y64*Source!I154</f>
        <v>0.5786</v>
      </c>
      <c r="CY64">
        <f>AB64</f>
        <v>796.25</v>
      </c>
      <c r="CZ64">
        <f>AF64</f>
        <v>111.99</v>
      </c>
      <c r="DA64">
        <f>AJ64</f>
        <v>7.11</v>
      </c>
      <c r="DB64">
        <v>0</v>
      </c>
    </row>
    <row r="65" spans="1:106" ht="12.75">
      <c r="A65">
        <f>ROW(Source!A154)</f>
        <v>154</v>
      </c>
      <c r="B65">
        <v>42253831</v>
      </c>
      <c r="C65">
        <v>42254993</v>
      </c>
      <c r="D65">
        <v>36882180</v>
      </c>
      <c r="E65">
        <v>1</v>
      </c>
      <c r="F65">
        <v>1</v>
      </c>
      <c r="G65">
        <v>1</v>
      </c>
      <c r="H65">
        <v>2</v>
      </c>
      <c r="I65" t="s">
        <v>555</v>
      </c>
      <c r="J65" t="s">
        <v>556</v>
      </c>
      <c r="K65" t="s">
        <v>557</v>
      </c>
      <c r="L65">
        <v>1368</v>
      </c>
      <c r="N65">
        <v>1011</v>
      </c>
      <c r="O65" t="s">
        <v>470</v>
      </c>
      <c r="P65" t="s">
        <v>470</v>
      </c>
      <c r="Q65">
        <v>1</v>
      </c>
      <c r="W65">
        <v>0</v>
      </c>
      <c r="X65">
        <v>92482457</v>
      </c>
      <c r="Y65">
        <v>14.9</v>
      </c>
      <c r="AA65">
        <v>0</v>
      </c>
      <c r="AB65">
        <v>688.89</v>
      </c>
      <c r="AC65">
        <v>269.46</v>
      </c>
      <c r="AD65">
        <v>0</v>
      </c>
      <c r="AE65">
        <v>0</v>
      </c>
      <c r="AF65">
        <v>96.89</v>
      </c>
      <c r="AG65">
        <v>13.5</v>
      </c>
      <c r="AH65">
        <v>0</v>
      </c>
      <c r="AI65">
        <v>1</v>
      </c>
      <c r="AJ65">
        <v>7.11</v>
      </c>
      <c r="AK65">
        <v>19.96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14.9</v>
      </c>
      <c r="AV65">
        <v>0</v>
      </c>
      <c r="AW65">
        <v>2</v>
      </c>
      <c r="AX65">
        <v>42255006</v>
      </c>
      <c r="AY65">
        <v>1</v>
      </c>
      <c r="AZ65">
        <v>0</v>
      </c>
      <c r="BA65">
        <v>63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Y65*Source!I154</f>
        <v>3.278</v>
      </c>
      <c r="CY65">
        <f>AB65</f>
        <v>688.89</v>
      </c>
      <c r="CZ65">
        <f>AF65</f>
        <v>96.89</v>
      </c>
      <c r="DA65">
        <f>AJ65</f>
        <v>7.11</v>
      </c>
      <c r="DB65">
        <v>0</v>
      </c>
    </row>
    <row r="66" spans="1:106" ht="12.75">
      <c r="A66">
        <f>ROW(Source!A154)</f>
        <v>154</v>
      </c>
      <c r="B66">
        <v>42253831</v>
      </c>
      <c r="C66">
        <v>42254993</v>
      </c>
      <c r="D66">
        <v>36883554</v>
      </c>
      <c r="E66">
        <v>1</v>
      </c>
      <c r="F66">
        <v>1</v>
      </c>
      <c r="G66">
        <v>1</v>
      </c>
      <c r="H66">
        <v>2</v>
      </c>
      <c r="I66" t="s">
        <v>498</v>
      </c>
      <c r="J66" t="s">
        <v>499</v>
      </c>
      <c r="K66" t="s">
        <v>500</v>
      </c>
      <c r="L66">
        <v>1368</v>
      </c>
      <c r="N66">
        <v>1011</v>
      </c>
      <c r="O66" t="s">
        <v>470</v>
      </c>
      <c r="P66" t="s">
        <v>470</v>
      </c>
      <c r="Q66">
        <v>1</v>
      </c>
      <c r="W66">
        <v>0</v>
      </c>
      <c r="X66">
        <v>1372534845</v>
      </c>
      <c r="Y66">
        <v>3.95</v>
      </c>
      <c r="AA66">
        <v>0</v>
      </c>
      <c r="AB66">
        <v>467.2</v>
      </c>
      <c r="AC66">
        <v>231.54</v>
      </c>
      <c r="AD66">
        <v>0</v>
      </c>
      <c r="AE66">
        <v>0</v>
      </c>
      <c r="AF66">
        <v>65.71</v>
      </c>
      <c r="AG66">
        <v>11.6</v>
      </c>
      <c r="AH66">
        <v>0</v>
      </c>
      <c r="AI66">
        <v>1</v>
      </c>
      <c r="AJ66">
        <v>7.11</v>
      </c>
      <c r="AK66">
        <v>19.96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3.95</v>
      </c>
      <c r="AV66">
        <v>0</v>
      </c>
      <c r="AW66">
        <v>2</v>
      </c>
      <c r="AX66">
        <v>42255007</v>
      </c>
      <c r="AY66">
        <v>1</v>
      </c>
      <c r="AZ66">
        <v>0</v>
      </c>
      <c r="BA66">
        <v>64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Y66*Source!I154</f>
        <v>0.869</v>
      </c>
      <c r="CY66">
        <f>AB66</f>
        <v>467.2</v>
      </c>
      <c r="CZ66">
        <f>AF66</f>
        <v>65.71</v>
      </c>
      <c r="DA66">
        <f>AJ66</f>
        <v>7.11</v>
      </c>
      <c r="DB66">
        <v>0</v>
      </c>
    </row>
    <row r="67" spans="1:106" ht="12.75">
      <c r="A67">
        <f>ROW(Source!A154)</f>
        <v>154</v>
      </c>
      <c r="B67">
        <v>42253831</v>
      </c>
      <c r="C67">
        <v>42254993</v>
      </c>
      <c r="D67">
        <v>36807113</v>
      </c>
      <c r="E67">
        <v>1</v>
      </c>
      <c r="F67">
        <v>1</v>
      </c>
      <c r="G67">
        <v>1</v>
      </c>
      <c r="H67">
        <v>3</v>
      </c>
      <c r="I67" t="s">
        <v>192</v>
      </c>
      <c r="J67" t="s">
        <v>194</v>
      </c>
      <c r="K67" t="s">
        <v>193</v>
      </c>
      <c r="L67">
        <v>1339</v>
      </c>
      <c r="N67">
        <v>1007</v>
      </c>
      <c r="O67" t="s">
        <v>140</v>
      </c>
      <c r="P67" t="s">
        <v>140</v>
      </c>
      <c r="Q67">
        <v>1</v>
      </c>
      <c r="W67">
        <v>0</v>
      </c>
      <c r="X67">
        <v>-481738122</v>
      </c>
      <c r="Y67">
        <v>0.41</v>
      </c>
      <c r="AA67">
        <v>3763.9</v>
      </c>
      <c r="AB67">
        <v>0</v>
      </c>
      <c r="AC67">
        <v>0</v>
      </c>
      <c r="AD67">
        <v>0</v>
      </c>
      <c r="AE67">
        <v>665</v>
      </c>
      <c r="AF67">
        <v>0</v>
      </c>
      <c r="AG67">
        <v>0</v>
      </c>
      <c r="AH67">
        <v>0</v>
      </c>
      <c r="AI67">
        <v>5.66</v>
      </c>
      <c r="AJ67">
        <v>1</v>
      </c>
      <c r="AK67">
        <v>1</v>
      </c>
      <c r="AL67">
        <v>1</v>
      </c>
      <c r="AN67">
        <v>0</v>
      </c>
      <c r="AO67">
        <v>0</v>
      </c>
      <c r="AP67">
        <v>0</v>
      </c>
      <c r="AQ67">
        <v>0</v>
      </c>
      <c r="AR67">
        <v>0</v>
      </c>
      <c r="AT67">
        <v>0.41</v>
      </c>
      <c r="AV67">
        <v>0</v>
      </c>
      <c r="AW67">
        <v>1</v>
      </c>
      <c r="AX67">
        <v>-1</v>
      </c>
      <c r="AY67">
        <v>0</v>
      </c>
      <c r="AZ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Y67*Source!I154</f>
        <v>0.09019999999999999</v>
      </c>
      <c r="CY67">
        <f>AA67</f>
        <v>3763.9</v>
      </c>
      <c r="CZ67">
        <f>AE67</f>
        <v>665</v>
      </c>
      <c r="DA67">
        <f>AI67</f>
        <v>5.66</v>
      </c>
      <c r="DB67">
        <v>0</v>
      </c>
    </row>
    <row r="68" spans="1:106" ht="12.75">
      <c r="A68">
        <f>ROW(Source!A154)</f>
        <v>154</v>
      </c>
      <c r="B68">
        <v>42253831</v>
      </c>
      <c r="C68">
        <v>42254993</v>
      </c>
      <c r="D68">
        <v>36807342</v>
      </c>
      <c r="E68">
        <v>1</v>
      </c>
      <c r="F68">
        <v>1</v>
      </c>
      <c r="G68">
        <v>1</v>
      </c>
      <c r="H68">
        <v>3</v>
      </c>
      <c r="I68" t="s">
        <v>558</v>
      </c>
      <c r="J68" t="s">
        <v>559</v>
      </c>
      <c r="K68" t="s">
        <v>560</v>
      </c>
      <c r="L68">
        <v>1339</v>
      </c>
      <c r="N68">
        <v>1007</v>
      </c>
      <c r="O68" t="s">
        <v>140</v>
      </c>
      <c r="P68" t="s">
        <v>140</v>
      </c>
      <c r="Q68">
        <v>1</v>
      </c>
      <c r="W68">
        <v>0</v>
      </c>
      <c r="X68">
        <v>519185539</v>
      </c>
      <c r="Y68">
        <v>1.2</v>
      </c>
      <c r="AA68">
        <v>2942.07</v>
      </c>
      <c r="AB68">
        <v>0</v>
      </c>
      <c r="AC68">
        <v>0</v>
      </c>
      <c r="AD68">
        <v>0</v>
      </c>
      <c r="AE68">
        <v>519.8</v>
      </c>
      <c r="AF68">
        <v>0</v>
      </c>
      <c r="AG68">
        <v>0</v>
      </c>
      <c r="AH68">
        <v>0</v>
      </c>
      <c r="AI68">
        <v>5.66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1.2</v>
      </c>
      <c r="AV68">
        <v>0</v>
      </c>
      <c r="AW68">
        <v>2</v>
      </c>
      <c r="AX68">
        <v>42255009</v>
      </c>
      <c r="AY68">
        <v>1</v>
      </c>
      <c r="AZ68">
        <v>0</v>
      </c>
      <c r="BA68">
        <v>66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Y68*Source!I154</f>
        <v>0.264</v>
      </c>
      <c r="CY68">
        <f>AA68</f>
        <v>2942.07</v>
      </c>
      <c r="CZ68">
        <f>AE68</f>
        <v>519.8</v>
      </c>
      <c r="DA68">
        <f>AI68</f>
        <v>5.66</v>
      </c>
      <c r="DB68">
        <v>0</v>
      </c>
    </row>
    <row r="69" spans="1:106" ht="12.75">
      <c r="A69">
        <f>ROW(Source!A154)</f>
        <v>154</v>
      </c>
      <c r="B69">
        <v>42253831</v>
      </c>
      <c r="C69">
        <v>42254993</v>
      </c>
      <c r="D69">
        <v>0</v>
      </c>
      <c r="E69">
        <v>1</v>
      </c>
      <c r="F69">
        <v>1</v>
      </c>
      <c r="G69">
        <v>1</v>
      </c>
      <c r="H69">
        <v>3</v>
      </c>
      <c r="I69" t="s">
        <v>158</v>
      </c>
      <c r="K69" t="s">
        <v>204</v>
      </c>
      <c r="L69">
        <v>20310329</v>
      </c>
      <c r="N69">
        <v>1010</v>
      </c>
      <c r="O69" t="s">
        <v>160</v>
      </c>
      <c r="P69" t="s">
        <v>162</v>
      </c>
      <c r="Q69">
        <v>1</v>
      </c>
      <c r="W69">
        <v>0</v>
      </c>
      <c r="X69">
        <v>40907843</v>
      </c>
      <c r="Y69">
        <v>50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5.66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T69">
        <v>50</v>
      </c>
      <c r="AV69">
        <v>0</v>
      </c>
      <c r="AW69">
        <v>1</v>
      </c>
      <c r="AX69">
        <v>-1</v>
      </c>
      <c r="AY69">
        <v>0</v>
      </c>
      <c r="AZ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Y69*Source!I154</f>
        <v>11</v>
      </c>
      <c r="CY69">
        <f>AA69</f>
        <v>0</v>
      </c>
      <c r="CZ69">
        <f>AE69</f>
        <v>0</v>
      </c>
      <c r="DA69">
        <f>AI69</f>
        <v>5.66</v>
      </c>
      <c r="DB69">
        <v>0</v>
      </c>
    </row>
    <row r="70" spans="1:106" ht="12.75">
      <c r="A70">
        <f>ROW(Source!A154)</f>
        <v>154</v>
      </c>
      <c r="B70">
        <v>42253831</v>
      </c>
      <c r="C70">
        <v>42254993</v>
      </c>
      <c r="D70">
        <v>0</v>
      </c>
      <c r="E70">
        <v>1</v>
      </c>
      <c r="F70">
        <v>1</v>
      </c>
      <c r="G70">
        <v>1</v>
      </c>
      <c r="H70">
        <v>3</v>
      </c>
      <c r="I70" t="s">
        <v>158</v>
      </c>
      <c r="K70" t="s">
        <v>207</v>
      </c>
      <c r="L70">
        <v>20310329</v>
      </c>
      <c r="N70">
        <v>1010</v>
      </c>
      <c r="O70" t="s">
        <v>160</v>
      </c>
      <c r="P70" t="s">
        <v>162</v>
      </c>
      <c r="Q70">
        <v>1</v>
      </c>
      <c r="W70">
        <v>0</v>
      </c>
      <c r="X70">
        <v>112270491</v>
      </c>
      <c r="Y70">
        <v>50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5.66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T70">
        <v>50</v>
      </c>
      <c r="AV70">
        <v>0</v>
      </c>
      <c r="AW70">
        <v>1</v>
      </c>
      <c r="AX70">
        <v>-1</v>
      </c>
      <c r="AY70">
        <v>0</v>
      </c>
      <c r="AZ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Y70*Source!I154</f>
        <v>11</v>
      </c>
      <c r="CY70">
        <f>AA70</f>
        <v>0</v>
      </c>
      <c r="CZ70">
        <f>AE70</f>
        <v>0</v>
      </c>
      <c r="DA70">
        <f>AI70</f>
        <v>5.66</v>
      </c>
      <c r="DB70">
        <v>0</v>
      </c>
    </row>
    <row r="71" spans="1:106" ht="12.75">
      <c r="A71">
        <f>ROW(Source!A158)</f>
        <v>158</v>
      </c>
      <c r="B71">
        <v>42253831</v>
      </c>
      <c r="C71">
        <v>42255014</v>
      </c>
      <c r="D71">
        <v>37070495</v>
      </c>
      <c r="E71">
        <v>1</v>
      </c>
      <c r="F71">
        <v>1</v>
      </c>
      <c r="G71">
        <v>1</v>
      </c>
      <c r="H71">
        <v>1</v>
      </c>
      <c r="I71" t="s">
        <v>553</v>
      </c>
      <c r="K71" t="s">
        <v>554</v>
      </c>
      <c r="L71">
        <v>1191</v>
      </c>
      <c r="N71">
        <v>1013</v>
      </c>
      <c r="O71" t="s">
        <v>462</v>
      </c>
      <c r="P71" t="s">
        <v>462</v>
      </c>
      <c r="Q71">
        <v>1</v>
      </c>
      <c r="W71">
        <v>0</v>
      </c>
      <c r="X71">
        <v>-784637506</v>
      </c>
      <c r="Y71">
        <v>74.15</v>
      </c>
      <c r="AA71">
        <v>0</v>
      </c>
      <c r="AB71">
        <v>0</v>
      </c>
      <c r="AC71">
        <v>0</v>
      </c>
      <c r="AD71">
        <v>174.45</v>
      </c>
      <c r="AE71">
        <v>0</v>
      </c>
      <c r="AF71">
        <v>0</v>
      </c>
      <c r="AG71">
        <v>0</v>
      </c>
      <c r="AH71">
        <v>8.74</v>
      </c>
      <c r="AI71">
        <v>1</v>
      </c>
      <c r="AJ71">
        <v>1</v>
      </c>
      <c r="AK71">
        <v>1</v>
      </c>
      <c r="AL71">
        <v>19.96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74.15</v>
      </c>
      <c r="AV71">
        <v>1</v>
      </c>
      <c r="AW71">
        <v>2</v>
      </c>
      <c r="AX71">
        <v>42255023</v>
      </c>
      <c r="AY71">
        <v>1</v>
      </c>
      <c r="AZ71">
        <v>0</v>
      </c>
      <c r="BA71">
        <v>68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Y71*Source!I158</f>
        <v>17.796</v>
      </c>
      <c r="CY71">
        <f>AD71</f>
        <v>174.45</v>
      </c>
      <c r="CZ71">
        <f>AH71</f>
        <v>8.74</v>
      </c>
      <c r="DA71">
        <f>AL71</f>
        <v>19.96</v>
      </c>
      <c r="DB71">
        <v>0</v>
      </c>
    </row>
    <row r="72" spans="1:106" ht="12.75">
      <c r="A72">
        <f>ROW(Source!A158)</f>
        <v>158</v>
      </c>
      <c r="B72">
        <v>42253831</v>
      </c>
      <c r="C72">
        <v>42255014</v>
      </c>
      <c r="D72">
        <v>37064876</v>
      </c>
      <c r="E72">
        <v>1</v>
      </c>
      <c r="F72">
        <v>1</v>
      </c>
      <c r="G72">
        <v>1</v>
      </c>
      <c r="H72">
        <v>1</v>
      </c>
      <c r="I72" t="s">
        <v>465</v>
      </c>
      <c r="K72" t="s">
        <v>466</v>
      </c>
      <c r="L72">
        <v>1191</v>
      </c>
      <c r="N72">
        <v>1013</v>
      </c>
      <c r="O72" t="s">
        <v>462</v>
      </c>
      <c r="P72" t="s">
        <v>462</v>
      </c>
      <c r="Q72">
        <v>1</v>
      </c>
      <c r="W72">
        <v>0</v>
      </c>
      <c r="X72">
        <v>-1417349443</v>
      </c>
      <c r="Y72">
        <v>30.19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19.96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30.19</v>
      </c>
      <c r="AV72">
        <v>2</v>
      </c>
      <c r="AW72">
        <v>2</v>
      </c>
      <c r="AX72">
        <v>42255024</v>
      </c>
      <c r="AY72">
        <v>1</v>
      </c>
      <c r="AZ72">
        <v>0</v>
      </c>
      <c r="BA72">
        <v>69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Y72*Source!I158</f>
        <v>7.2456</v>
      </c>
      <c r="CY72">
        <f>AD72</f>
        <v>0</v>
      </c>
      <c r="CZ72">
        <f>AH72</f>
        <v>0</v>
      </c>
      <c r="DA72">
        <f>AL72</f>
        <v>1</v>
      </c>
      <c r="DB72">
        <v>0</v>
      </c>
    </row>
    <row r="73" spans="1:106" ht="12.75">
      <c r="A73">
        <f>ROW(Source!A158)</f>
        <v>158</v>
      </c>
      <c r="B73">
        <v>42253831</v>
      </c>
      <c r="C73">
        <v>42255014</v>
      </c>
      <c r="D73">
        <v>36882159</v>
      </c>
      <c r="E73">
        <v>1</v>
      </c>
      <c r="F73">
        <v>1</v>
      </c>
      <c r="G73">
        <v>1</v>
      </c>
      <c r="H73">
        <v>2</v>
      </c>
      <c r="I73" t="s">
        <v>495</v>
      </c>
      <c r="J73" t="s">
        <v>496</v>
      </c>
      <c r="K73" t="s">
        <v>497</v>
      </c>
      <c r="L73">
        <v>1368</v>
      </c>
      <c r="N73">
        <v>1011</v>
      </c>
      <c r="O73" t="s">
        <v>470</v>
      </c>
      <c r="P73" t="s">
        <v>470</v>
      </c>
      <c r="Q73">
        <v>1</v>
      </c>
      <c r="W73">
        <v>0</v>
      </c>
      <c r="X73">
        <v>-1718674368</v>
      </c>
      <c r="Y73">
        <v>3.92</v>
      </c>
      <c r="AA73">
        <v>0</v>
      </c>
      <c r="AB73">
        <v>796.25</v>
      </c>
      <c r="AC73">
        <v>269.46</v>
      </c>
      <c r="AD73">
        <v>0</v>
      </c>
      <c r="AE73">
        <v>0</v>
      </c>
      <c r="AF73">
        <v>111.99</v>
      </c>
      <c r="AG73">
        <v>13.5</v>
      </c>
      <c r="AH73">
        <v>0</v>
      </c>
      <c r="AI73">
        <v>1</v>
      </c>
      <c r="AJ73">
        <v>7.11</v>
      </c>
      <c r="AK73">
        <v>19.96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3.92</v>
      </c>
      <c r="AV73">
        <v>0</v>
      </c>
      <c r="AW73">
        <v>2</v>
      </c>
      <c r="AX73">
        <v>42255025</v>
      </c>
      <c r="AY73">
        <v>1</v>
      </c>
      <c r="AZ73">
        <v>0</v>
      </c>
      <c r="BA73">
        <v>70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Y73*Source!I158</f>
        <v>0.9408</v>
      </c>
      <c r="CY73">
        <f>AB73</f>
        <v>796.25</v>
      </c>
      <c r="CZ73">
        <f>AF73</f>
        <v>111.99</v>
      </c>
      <c r="DA73">
        <f>AJ73</f>
        <v>7.11</v>
      </c>
      <c r="DB73">
        <v>0</v>
      </c>
    </row>
    <row r="74" spans="1:106" ht="12.75">
      <c r="A74">
        <f>ROW(Source!A158)</f>
        <v>158</v>
      </c>
      <c r="B74">
        <v>42253831</v>
      </c>
      <c r="C74">
        <v>42255014</v>
      </c>
      <c r="D74">
        <v>36882180</v>
      </c>
      <c r="E74">
        <v>1</v>
      </c>
      <c r="F74">
        <v>1</v>
      </c>
      <c r="G74">
        <v>1</v>
      </c>
      <c r="H74">
        <v>2</v>
      </c>
      <c r="I74" t="s">
        <v>555</v>
      </c>
      <c r="J74" t="s">
        <v>556</v>
      </c>
      <c r="K74" t="s">
        <v>557</v>
      </c>
      <c r="L74">
        <v>1368</v>
      </c>
      <c r="N74">
        <v>1011</v>
      </c>
      <c r="O74" t="s">
        <v>470</v>
      </c>
      <c r="P74" t="s">
        <v>470</v>
      </c>
      <c r="Q74">
        <v>1</v>
      </c>
      <c r="W74">
        <v>0</v>
      </c>
      <c r="X74">
        <v>92482457</v>
      </c>
      <c r="Y74">
        <v>20.38</v>
      </c>
      <c r="AA74">
        <v>0</v>
      </c>
      <c r="AB74">
        <v>688.89</v>
      </c>
      <c r="AC74">
        <v>269.46</v>
      </c>
      <c r="AD74">
        <v>0</v>
      </c>
      <c r="AE74">
        <v>0</v>
      </c>
      <c r="AF74">
        <v>96.89</v>
      </c>
      <c r="AG74">
        <v>13.5</v>
      </c>
      <c r="AH74">
        <v>0</v>
      </c>
      <c r="AI74">
        <v>1</v>
      </c>
      <c r="AJ74">
        <v>7.11</v>
      </c>
      <c r="AK74">
        <v>19.96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20.38</v>
      </c>
      <c r="AV74">
        <v>0</v>
      </c>
      <c r="AW74">
        <v>2</v>
      </c>
      <c r="AX74">
        <v>42255026</v>
      </c>
      <c r="AY74">
        <v>1</v>
      </c>
      <c r="AZ74">
        <v>0</v>
      </c>
      <c r="BA74">
        <v>71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Y74*Source!I158</f>
        <v>4.8911999999999995</v>
      </c>
      <c r="CY74">
        <f>AB74</f>
        <v>688.89</v>
      </c>
      <c r="CZ74">
        <f>AF74</f>
        <v>96.89</v>
      </c>
      <c r="DA74">
        <f>AJ74</f>
        <v>7.11</v>
      </c>
      <c r="DB74">
        <v>0</v>
      </c>
    </row>
    <row r="75" spans="1:106" ht="12.75">
      <c r="A75">
        <f>ROW(Source!A158)</f>
        <v>158</v>
      </c>
      <c r="B75">
        <v>42253831</v>
      </c>
      <c r="C75">
        <v>42255014</v>
      </c>
      <c r="D75">
        <v>36883554</v>
      </c>
      <c r="E75">
        <v>1</v>
      </c>
      <c r="F75">
        <v>1</v>
      </c>
      <c r="G75">
        <v>1</v>
      </c>
      <c r="H75">
        <v>2</v>
      </c>
      <c r="I75" t="s">
        <v>498</v>
      </c>
      <c r="J75" t="s">
        <v>499</v>
      </c>
      <c r="K75" t="s">
        <v>500</v>
      </c>
      <c r="L75">
        <v>1368</v>
      </c>
      <c r="N75">
        <v>1011</v>
      </c>
      <c r="O75" t="s">
        <v>470</v>
      </c>
      <c r="P75" t="s">
        <v>470</v>
      </c>
      <c r="Q75">
        <v>1</v>
      </c>
      <c r="W75">
        <v>0</v>
      </c>
      <c r="X75">
        <v>1372534845</v>
      </c>
      <c r="Y75">
        <v>5.89</v>
      </c>
      <c r="AA75">
        <v>0</v>
      </c>
      <c r="AB75">
        <v>467.2</v>
      </c>
      <c r="AC75">
        <v>231.54</v>
      </c>
      <c r="AD75">
        <v>0</v>
      </c>
      <c r="AE75">
        <v>0</v>
      </c>
      <c r="AF75">
        <v>65.71</v>
      </c>
      <c r="AG75">
        <v>11.6</v>
      </c>
      <c r="AH75">
        <v>0</v>
      </c>
      <c r="AI75">
        <v>1</v>
      </c>
      <c r="AJ75">
        <v>7.11</v>
      </c>
      <c r="AK75">
        <v>19.96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5.89</v>
      </c>
      <c r="AV75">
        <v>0</v>
      </c>
      <c r="AW75">
        <v>2</v>
      </c>
      <c r="AX75">
        <v>42255027</v>
      </c>
      <c r="AY75">
        <v>1</v>
      </c>
      <c r="AZ75">
        <v>0</v>
      </c>
      <c r="BA75">
        <v>72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Y75*Source!I158</f>
        <v>1.4136</v>
      </c>
      <c r="CY75">
        <f>AB75</f>
        <v>467.2</v>
      </c>
      <c r="CZ75">
        <f>AF75</f>
        <v>65.71</v>
      </c>
      <c r="DA75">
        <f>AJ75</f>
        <v>7.11</v>
      </c>
      <c r="DB75">
        <v>0</v>
      </c>
    </row>
    <row r="76" spans="1:106" ht="12.75">
      <c r="A76">
        <f>ROW(Source!A158)</f>
        <v>158</v>
      </c>
      <c r="B76">
        <v>42253831</v>
      </c>
      <c r="C76">
        <v>42255014</v>
      </c>
      <c r="D76">
        <v>36807113</v>
      </c>
      <c r="E76">
        <v>1</v>
      </c>
      <c r="F76">
        <v>1</v>
      </c>
      <c r="G76">
        <v>1</v>
      </c>
      <c r="H76">
        <v>3</v>
      </c>
      <c r="I76" t="s">
        <v>192</v>
      </c>
      <c r="J76" t="s">
        <v>194</v>
      </c>
      <c r="K76" t="s">
        <v>193</v>
      </c>
      <c r="L76">
        <v>1339</v>
      </c>
      <c r="N76">
        <v>1007</v>
      </c>
      <c r="O76" t="s">
        <v>140</v>
      </c>
      <c r="P76" t="s">
        <v>140</v>
      </c>
      <c r="Q76">
        <v>1</v>
      </c>
      <c r="W76">
        <v>0</v>
      </c>
      <c r="X76">
        <v>-481738122</v>
      </c>
      <c r="Y76">
        <v>0.71</v>
      </c>
      <c r="AA76">
        <v>3763.9</v>
      </c>
      <c r="AB76">
        <v>0</v>
      </c>
      <c r="AC76">
        <v>0</v>
      </c>
      <c r="AD76">
        <v>0</v>
      </c>
      <c r="AE76">
        <v>665</v>
      </c>
      <c r="AF76">
        <v>0</v>
      </c>
      <c r="AG76">
        <v>0</v>
      </c>
      <c r="AH76">
        <v>0</v>
      </c>
      <c r="AI76">
        <v>5.66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T76">
        <v>0.71</v>
      </c>
      <c r="AV76">
        <v>0</v>
      </c>
      <c r="AW76">
        <v>1</v>
      </c>
      <c r="AX76">
        <v>-1</v>
      </c>
      <c r="AY76">
        <v>0</v>
      </c>
      <c r="AZ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Y76*Source!I158</f>
        <v>0.1704</v>
      </c>
      <c r="CY76">
        <f>AA76</f>
        <v>3763.9</v>
      </c>
      <c r="CZ76">
        <f>AE76</f>
        <v>665</v>
      </c>
      <c r="DA76">
        <f>AI76</f>
        <v>5.66</v>
      </c>
      <c r="DB76">
        <v>0</v>
      </c>
    </row>
    <row r="77" spans="1:106" ht="12.75">
      <c r="A77">
        <f>ROW(Source!A158)</f>
        <v>158</v>
      </c>
      <c r="B77">
        <v>42253831</v>
      </c>
      <c r="C77">
        <v>42255014</v>
      </c>
      <c r="D77">
        <v>36807342</v>
      </c>
      <c r="E77">
        <v>1</v>
      </c>
      <c r="F77">
        <v>1</v>
      </c>
      <c r="G77">
        <v>1</v>
      </c>
      <c r="H77">
        <v>3</v>
      </c>
      <c r="I77" t="s">
        <v>558</v>
      </c>
      <c r="J77" t="s">
        <v>559</v>
      </c>
      <c r="K77" t="s">
        <v>560</v>
      </c>
      <c r="L77">
        <v>1339</v>
      </c>
      <c r="N77">
        <v>1007</v>
      </c>
      <c r="O77" t="s">
        <v>140</v>
      </c>
      <c r="P77" t="s">
        <v>140</v>
      </c>
      <c r="Q77">
        <v>1</v>
      </c>
      <c r="W77">
        <v>0</v>
      </c>
      <c r="X77">
        <v>519185539</v>
      </c>
      <c r="Y77">
        <v>1.65</v>
      </c>
      <c r="AA77">
        <v>2942.07</v>
      </c>
      <c r="AB77">
        <v>0</v>
      </c>
      <c r="AC77">
        <v>0</v>
      </c>
      <c r="AD77">
        <v>0</v>
      </c>
      <c r="AE77">
        <v>519.8</v>
      </c>
      <c r="AF77">
        <v>0</v>
      </c>
      <c r="AG77">
        <v>0</v>
      </c>
      <c r="AH77">
        <v>0</v>
      </c>
      <c r="AI77">
        <v>5.66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1.65</v>
      </c>
      <c r="AV77">
        <v>0</v>
      </c>
      <c r="AW77">
        <v>2</v>
      </c>
      <c r="AX77">
        <v>42255029</v>
      </c>
      <c r="AY77">
        <v>1</v>
      </c>
      <c r="AZ77">
        <v>0</v>
      </c>
      <c r="BA77">
        <v>74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Y77*Source!I158</f>
        <v>0.39599999999999996</v>
      </c>
      <c r="CY77">
        <f>AA77</f>
        <v>2942.07</v>
      </c>
      <c r="CZ77">
        <f>AE77</f>
        <v>519.8</v>
      </c>
      <c r="DA77">
        <f>AI77</f>
        <v>5.66</v>
      </c>
      <c r="DB77">
        <v>0</v>
      </c>
    </row>
    <row r="78" spans="1:106" ht="12.75">
      <c r="A78">
        <f>ROW(Source!A158)</f>
        <v>158</v>
      </c>
      <c r="B78">
        <v>42253831</v>
      </c>
      <c r="C78">
        <v>42255014</v>
      </c>
      <c r="D78">
        <v>0</v>
      </c>
      <c r="E78">
        <v>1</v>
      </c>
      <c r="F78">
        <v>1</v>
      </c>
      <c r="G78">
        <v>1</v>
      </c>
      <c r="H78">
        <v>3</v>
      </c>
      <c r="I78" t="s">
        <v>158</v>
      </c>
      <c r="K78" t="s">
        <v>215</v>
      </c>
      <c r="L78">
        <v>20310329</v>
      </c>
      <c r="N78">
        <v>1010</v>
      </c>
      <c r="O78" t="s">
        <v>160</v>
      </c>
      <c r="P78" t="s">
        <v>162</v>
      </c>
      <c r="Q78">
        <v>1</v>
      </c>
      <c r="W78">
        <v>0</v>
      </c>
      <c r="X78">
        <v>-1074717354</v>
      </c>
      <c r="Y78">
        <v>100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5.66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T78">
        <v>100</v>
      </c>
      <c r="AV78">
        <v>0</v>
      </c>
      <c r="AW78">
        <v>1</v>
      </c>
      <c r="AX78">
        <v>-1</v>
      </c>
      <c r="AY78">
        <v>0</v>
      </c>
      <c r="AZ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Y78*Source!I158</f>
        <v>24</v>
      </c>
      <c r="CY78">
        <f>AA78</f>
        <v>0</v>
      </c>
      <c r="CZ78">
        <f>AE78</f>
        <v>0</v>
      </c>
      <c r="DA78">
        <f>AI78</f>
        <v>5.66</v>
      </c>
      <c r="DB78">
        <v>0</v>
      </c>
    </row>
    <row r="79" spans="1:106" ht="12.75">
      <c r="A79">
        <f>ROW(Source!A161)</f>
        <v>161</v>
      </c>
      <c r="B79">
        <v>42253831</v>
      </c>
      <c r="C79">
        <v>42255033</v>
      </c>
      <c r="D79">
        <v>37068148</v>
      </c>
      <c r="E79">
        <v>1</v>
      </c>
      <c r="F79">
        <v>1</v>
      </c>
      <c r="G79">
        <v>1</v>
      </c>
      <c r="H79">
        <v>1</v>
      </c>
      <c r="I79" t="s">
        <v>561</v>
      </c>
      <c r="K79" t="s">
        <v>562</v>
      </c>
      <c r="L79">
        <v>1191</v>
      </c>
      <c r="N79">
        <v>1013</v>
      </c>
      <c r="O79" t="s">
        <v>462</v>
      </c>
      <c r="P79" t="s">
        <v>462</v>
      </c>
      <c r="Q79">
        <v>1</v>
      </c>
      <c r="W79">
        <v>0</v>
      </c>
      <c r="X79">
        <v>371339561</v>
      </c>
      <c r="Y79">
        <v>75.58</v>
      </c>
      <c r="AA79">
        <v>0</v>
      </c>
      <c r="AB79">
        <v>0</v>
      </c>
      <c r="AC79">
        <v>0</v>
      </c>
      <c r="AD79">
        <v>161.48</v>
      </c>
      <c r="AE79">
        <v>0</v>
      </c>
      <c r="AF79">
        <v>0</v>
      </c>
      <c r="AG79">
        <v>0</v>
      </c>
      <c r="AH79">
        <v>8.09</v>
      </c>
      <c r="AI79">
        <v>1</v>
      </c>
      <c r="AJ79">
        <v>1</v>
      </c>
      <c r="AK79">
        <v>1</v>
      </c>
      <c r="AL79">
        <v>19.96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75.58</v>
      </c>
      <c r="AV79">
        <v>1</v>
      </c>
      <c r="AW79">
        <v>2</v>
      </c>
      <c r="AX79">
        <v>42255046</v>
      </c>
      <c r="AY79">
        <v>1</v>
      </c>
      <c r="AZ79">
        <v>0</v>
      </c>
      <c r="BA79">
        <v>76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Y79*Source!I161</f>
        <v>1.5116</v>
      </c>
      <c r="CY79">
        <f>AD79</f>
        <v>161.48</v>
      </c>
      <c r="CZ79">
        <f>AH79</f>
        <v>8.09</v>
      </c>
      <c r="DA79">
        <f>AL79</f>
        <v>19.96</v>
      </c>
      <c r="DB79">
        <v>0</v>
      </c>
    </row>
    <row r="80" spans="1:106" ht="12.75">
      <c r="A80">
        <f>ROW(Source!A161)</f>
        <v>161</v>
      </c>
      <c r="B80">
        <v>42253831</v>
      </c>
      <c r="C80">
        <v>42255033</v>
      </c>
      <c r="D80">
        <v>37064876</v>
      </c>
      <c r="E80">
        <v>1</v>
      </c>
      <c r="F80">
        <v>1</v>
      </c>
      <c r="G80">
        <v>1</v>
      </c>
      <c r="H80">
        <v>1</v>
      </c>
      <c r="I80" t="s">
        <v>465</v>
      </c>
      <c r="K80" t="s">
        <v>466</v>
      </c>
      <c r="L80">
        <v>1191</v>
      </c>
      <c r="N80">
        <v>1013</v>
      </c>
      <c r="O80" t="s">
        <v>462</v>
      </c>
      <c r="P80" t="s">
        <v>462</v>
      </c>
      <c r="Q80">
        <v>1</v>
      </c>
      <c r="W80">
        <v>0</v>
      </c>
      <c r="X80">
        <v>-1417349443</v>
      </c>
      <c r="Y80">
        <v>0.43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19.96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0.43</v>
      </c>
      <c r="AV80">
        <v>2</v>
      </c>
      <c r="AW80">
        <v>2</v>
      </c>
      <c r="AX80">
        <v>42255047</v>
      </c>
      <c r="AY80">
        <v>1</v>
      </c>
      <c r="AZ80">
        <v>0</v>
      </c>
      <c r="BA80">
        <v>77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Y80*Source!I161</f>
        <v>0.0086</v>
      </c>
      <c r="CY80">
        <f>AD80</f>
        <v>0</v>
      </c>
      <c r="CZ80">
        <f>AH80</f>
        <v>0</v>
      </c>
      <c r="DA80">
        <f>AL80</f>
        <v>1</v>
      </c>
      <c r="DB80">
        <v>0</v>
      </c>
    </row>
    <row r="81" spans="1:106" ht="12.75">
      <c r="A81">
        <f>ROW(Source!A161)</f>
        <v>161</v>
      </c>
      <c r="B81">
        <v>42253831</v>
      </c>
      <c r="C81">
        <v>42255033</v>
      </c>
      <c r="D81">
        <v>36882356</v>
      </c>
      <c r="E81">
        <v>1</v>
      </c>
      <c r="F81">
        <v>1</v>
      </c>
      <c r="G81">
        <v>1</v>
      </c>
      <c r="H81">
        <v>2</v>
      </c>
      <c r="I81" t="s">
        <v>563</v>
      </c>
      <c r="J81" t="s">
        <v>564</v>
      </c>
      <c r="K81" t="s">
        <v>565</v>
      </c>
      <c r="L81">
        <v>1368</v>
      </c>
      <c r="N81">
        <v>1011</v>
      </c>
      <c r="O81" t="s">
        <v>470</v>
      </c>
      <c r="P81" t="s">
        <v>470</v>
      </c>
      <c r="Q81">
        <v>1</v>
      </c>
      <c r="W81">
        <v>0</v>
      </c>
      <c r="X81">
        <v>1047452784</v>
      </c>
      <c r="Y81">
        <v>0.23</v>
      </c>
      <c r="AA81">
        <v>0</v>
      </c>
      <c r="AB81">
        <v>12.09</v>
      </c>
      <c r="AC81">
        <v>0</v>
      </c>
      <c r="AD81">
        <v>0</v>
      </c>
      <c r="AE81">
        <v>0</v>
      </c>
      <c r="AF81">
        <v>1.7</v>
      </c>
      <c r="AG81">
        <v>0</v>
      </c>
      <c r="AH81">
        <v>0</v>
      </c>
      <c r="AI81">
        <v>1</v>
      </c>
      <c r="AJ81">
        <v>7.11</v>
      </c>
      <c r="AK81">
        <v>19.96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0.23</v>
      </c>
      <c r="AV81">
        <v>0</v>
      </c>
      <c r="AW81">
        <v>2</v>
      </c>
      <c r="AX81">
        <v>42255048</v>
      </c>
      <c r="AY81">
        <v>1</v>
      </c>
      <c r="AZ81">
        <v>0</v>
      </c>
      <c r="BA81">
        <v>78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Y81*Source!I161</f>
        <v>0.0046</v>
      </c>
      <c r="CY81">
        <f>AB81</f>
        <v>12.09</v>
      </c>
      <c r="CZ81">
        <f>AF81</f>
        <v>1.7</v>
      </c>
      <c r="DA81">
        <f>AJ81</f>
        <v>7.11</v>
      </c>
      <c r="DB81">
        <v>0</v>
      </c>
    </row>
    <row r="82" spans="1:106" ht="12.75">
      <c r="A82">
        <f>ROW(Source!A161)</f>
        <v>161</v>
      </c>
      <c r="B82">
        <v>42253831</v>
      </c>
      <c r="C82">
        <v>42255033</v>
      </c>
      <c r="D82">
        <v>36883554</v>
      </c>
      <c r="E82">
        <v>1</v>
      </c>
      <c r="F82">
        <v>1</v>
      </c>
      <c r="G82">
        <v>1</v>
      </c>
      <c r="H82">
        <v>2</v>
      </c>
      <c r="I82" t="s">
        <v>498</v>
      </c>
      <c r="J82" t="s">
        <v>499</v>
      </c>
      <c r="K82" t="s">
        <v>500</v>
      </c>
      <c r="L82">
        <v>1368</v>
      </c>
      <c r="N82">
        <v>1011</v>
      </c>
      <c r="O82" t="s">
        <v>470</v>
      </c>
      <c r="P82" t="s">
        <v>470</v>
      </c>
      <c r="Q82">
        <v>1</v>
      </c>
      <c r="W82">
        <v>0</v>
      </c>
      <c r="X82">
        <v>1372534845</v>
      </c>
      <c r="Y82">
        <v>0.43</v>
      </c>
      <c r="AA82">
        <v>0</v>
      </c>
      <c r="AB82">
        <v>467.2</v>
      </c>
      <c r="AC82">
        <v>231.54</v>
      </c>
      <c r="AD82">
        <v>0</v>
      </c>
      <c r="AE82">
        <v>0</v>
      </c>
      <c r="AF82">
        <v>65.71</v>
      </c>
      <c r="AG82">
        <v>11.6</v>
      </c>
      <c r="AH82">
        <v>0</v>
      </c>
      <c r="AI82">
        <v>1</v>
      </c>
      <c r="AJ82">
        <v>7.11</v>
      </c>
      <c r="AK82">
        <v>19.96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0.43</v>
      </c>
      <c r="AV82">
        <v>0</v>
      </c>
      <c r="AW82">
        <v>2</v>
      </c>
      <c r="AX82">
        <v>42255049</v>
      </c>
      <c r="AY82">
        <v>1</v>
      </c>
      <c r="AZ82">
        <v>0</v>
      </c>
      <c r="BA82">
        <v>79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Y82*Source!I161</f>
        <v>0.0086</v>
      </c>
      <c r="CY82">
        <f>AB82</f>
        <v>467.2</v>
      </c>
      <c r="CZ82">
        <f>AF82</f>
        <v>65.71</v>
      </c>
      <c r="DA82">
        <f>AJ82</f>
        <v>7.11</v>
      </c>
      <c r="DB82">
        <v>0</v>
      </c>
    </row>
    <row r="83" spans="1:106" ht="12.75">
      <c r="A83">
        <f>ROW(Source!A161)</f>
        <v>161</v>
      </c>
      <c r="B83">
        <v>42253831</v>
      </c>
      <c r="C83">
        <v>42255033</v>
      </c>
      <c r="D83">
        <v>36801792</v>
      </c>
      <c r="E83">
        <v>1</v>
      </c>
      <c r="F83">
        <v>1</v>
      </c>
      <c r="G83">
        <v>1</v>
      </c>
      <c r="H83">
        <v>3</v>
      </c>
      <c r="I83" t="s">
        <v>540</v>
      </c>
      <c r="J83" t="s">
        <v>541</v>
      </c>
      <c r="K83" t="s">
        <v>542</v>
      </c>
      <c r="L83">
        <v>1339</v>
      </c>
      <c r="N83">
        <v>1007</v>
      </c>
      <c r="O83" t="s">
        <v>140</v>
      </c>
      <c r="P83" t="s">
        <v>140</v>
      </c>
      <c r="Q83">
        <v>1</v>
      </c>
      <c r="W83">
        <v>0</v>
      </c>
      <c r="X83">
        <v>-1660354250</v>
      </c>
      <c r="Y83">
        <v>0.0137</v>
      </c>
      <c r="AA83">
        <v>13.81</v>
      </c>
      <c r="AB83">
        <v>0</v>
      </c>
      <c r="AC83">
        <v>0</v>
      </c>
      <c r="AD83">
        <v>0</v>
      </c>
      <c r="AE83">
        <v>2.44</v>
      </c>
      <c r="AF83">
        <v>0</v>
      </c>
      <c r="AG83">
        <v>0</v>
      </c>
      <c r="AH83">
        <v>0</v>
      </c>
      <c r="AI83">
        <v>5.66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0.0137</v>
      </c>
      <c r="AV83">
        <v>0</v>
      </c>
      <c r="AW83">
        <v>2</v>
      </c>
      <c r="AX83">
        <v>42255050</v>
      </c>
      <c r="AY83">
        <v>1</v>
      </c>
      <c r="AZ83">
        <v>0</v>
      </c>
      <c r="BA83">
        <v>80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Y83*Source!I161</f>
        <v>0.000274</v>
      </c>
      <c r="CY83">
        <f aca="true" t="shared" si="0" ref="CY83:CY90">AA83</f>
        <v>13.81</v>
      </c>
      <c r="CZ83">
        <f aca="true" t="shared" si="1" ref="CZ83:CZ90">AE83</f>
        <v>2.44</v>
      </c>
      <c r="DA83">
        <f aca="true" t="shared" si="2" ref="DA83:DA90">AI83</f>
        <v>5.66</v>
      </c>
      <c r="DB83">
        <v>0</v>
      </c>
    </row>
    <row r="84" spans="1:106" ht="12.75">
      <c r="A84">
        <f>ROW(Source!A161)</f>
        <v>161</v>
      </c>
      <c r="B84">
        <v>42253831</v>
      </c>
      <c r="C84">
        <v>42255033</v>
      </c>
      <c r="D84">
        <v>36804545</v>
      </c>
      <c r="E84">
        <v>1</v>
      </c>
      <c r="F84">
        <v>1</v>
      </c>
      <c r="G84">
        <v>1</v>
      </c>
      <c r="H84">
        <v>3</v>
      </c>
      <c r="I84" t="s">
        <v>566</v>
      </c>
      <c r="J84" t="s">
        <v>567</v>
      </c>
      <c r="K84" t="s">
        <v>568</v>
      </c>
      <c r="L84">
        <v>1348</v>
      </c>
      <c r="N84">
        <v>1009</v>
      </c>
      <c r="O84" t="s">
        <v>246</v>
      </c>
      <c r="P84" t="s">
        <v>246</v>
      </c>
      <c r="Q84">
        <v>1000</v>
      </c>
      <c r="W84">
        <v>0</v>
      </c>
      <c r="X84">
        <v>1174701286</v>
      </c>
      <c r="Y84">
        <v>0.0059</v>
      </c>
      <c r="AA84">
        <v>67795.48</v>
      </c>
      <c r="AB84">
        <v>0</v>
      </c>
      <c r="AC84">
        <v>0</v>
      </c>
      <c r="AD84">
        <v>0</v>
      </c>
      <c r="AE84">
        <v>11978</v>
      </c>
      <c r="AF84">
        <v>0</v>
      </c>
      <c r="AG84">
        <v>0</v>
      </c>
      <c r="AH84">
        <v>0</v>
      </c>
      <c r="AI84">
        <v>5.66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0.0059</v>
      </c>
      <c r="AV84">
        <v>0</v>
      </c>
      <c r="AW84">
        <v>2</v>
      </c>
      <c r="AX84">
        <v>42255051</v>
      </c>
      <c r="AY84">
        <v>1</v>
      </c>
      <c r="AZ84">
        <v>0</v>
      </c>
      <c r="BA84">
        <v>81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Y84*Source!I161</f>
        <v>0.000118</v>
      </c>
      <c r="CY84">
        <f t="shared" si="0"/>
        <v>67795.48</v>
      </c>
      <c r="CZ84">
        <f t="shared" si="1"/>
        <v>11978</v>
      </c>
      <c r="DA84">
        <f t="shared" si="2"/>
        <v>5.66</v>
      </c>
      <c r="DB84">
        <v>0</v>
      </c>
    </row>
    <row r="85" spans="1:106" ht="12.75">
      <c r="A85">
        <f>ROW(Source!A161)</f>
        <v>161</v>
      </c>
      <c r="B85">
        <v>42253831</v>
      </c>
      <c r="C85">
        <v>42255033</v>
      </c>
      <c r="D85">
        <v>36806520</v>
      </c>
      <c r="E85">
        <v>1</v>
      </c>
      <c r="F85">
        <v>1</v>
      </c>
      <c r="G85">
        <v>1</v>
      </c>
      <c r="H85">
        <v>3</v>
      </c>
      <c r="I85" t="s">
        <v>569</v>
      </c>
      <c r="J85" t="s">
        <v>570</v>
      </c>
      <c r="K85" t="s">
        <v>571</v>
      </c>
      <c r="L85">
        <v>1348</v>
      </c>
      <c r="N85">
        <v>1009</v>
      </c>
      <c r="O85" t="s">
        <v>246</v>
      </c>
      <c r="P85" t="s">
        <v>246</v>
      </c>
      <c r="Q85">
        <v>1000</v>
      </c>
      <c r="W85">
        <v>0</v>
      </c>
      <c r="X85">
        <v>36820162</v>
      </c>
      <c r="Y85">
        <v>0.0049</v>
      </c>
      <c r="AA85">
        <v>4157.27</v>
      </c>
      <c r="AB85">
        <v>0</v>
      </c>
      <c r="AC85">
        <v>0</v>
      </c>
      <c r="AD85">
        <v>0</v>
      </c>
      <c r="AE85">
        <v>734.5</v>
      </c>
      <c r="AF85">
        <v>0</v>
      </c>
      <c r="AG85">
        <v>0</v>
      </c>
      <c r="AH85">
        <v>0</v>
      </c>
      <c r="AI85">
        <v>5.66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0.0049</v>
      </c>
      <c r="AV85">
        <v>0</v>
      </c>
      <c r="AW85">
        <v>2</v>
      </c>
      <c r="AX85">
        <v>42255052</v>
      </c>
      <c r="AY85">
        <v>1</v>
      </c>
      <c r="AZ85">
        <v>0</v>
      </c>
      <c r="BA85">
        <v>82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Y85*Source!I161</f>
        <v>9.8E-05</v>
      </c>
      <c r="CY85">
        <f t="shared" si="0"/>
        <v>4157.27</v>
      </c>
      <c r="CZ85">
        <f t="shared" si="1"/>
        <v>734.5</v>
      </c>
      <c r="DA85">
        <f t="shared" si="2"/>
        <v>5.66</v>
      </c>
      <c r="DB85">
        <v>0</v>
      </c>
    </row>
    <row r="86" spans="1:106" ht="12.75">
      <c r="A86">
        <f>ROW(Source!A161)</f>
        <v>161</v>
      </c>
      <c r="B86">
        <v>42253831</v>
      </c>
      <c r="C86">
        <v>42255033</v>
      </c>
      <c r="D86">
        <v>36807113</v>
      </c>
      <c r="E86">
        <v>1</v>
      </c>
      <c r="F86">
        <v>1</v>
      </c>
      <c r="G86">
        <v>1</v>
      </c>
      <c r="H86">
        <v>3</v>
      </c>
      <c r="I86" t="s">
        <v>192</v>
      </c>
      <c r="J86" t="s">
        <v>194</v>
      </c>
      <c r="K86" t="s">
        <v>193</v>
      </c>
      <c r="L86">
        <v>1339</v>
      </c>
      <c r="N86">
        <v>1007</v>
      </c>
      <c r="O86" t="s">
        <v>140</v>
      </c>
      <c r="P86" t="s">
        <v>140</v>
      </c>
      <c r="Q86">
        <v>1</v>
      </c>
      <c r="W86">
        <v>0</v>
      </c>
      <c r="X86">
        <v>-481738122</v>
      </c>
      <c r="Y86">
        <v>1.04</v>
      </c>
      <c r="AA86">
        <v>3763.9</v>
      </c>
      <c r="AB86">
        <v>0</v>
      </c>
      <c r="AC86">
        <v>0</v>
      </c>
      <c r="AD86">
        <v>0</v>
      </c>
      <c r="AE86">
        <v>665</v>
      </c>
      <c r="AF86">
        <v>0</v>
      </c>
      <c r="AG86">
        <v>0</v>
      </c>
      <c r="AH86">
        <v>0</v>
      </c>
      <c r="AI86">
        <v>5.66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T86">
        <v>1.04</v>
      </c>
      <c r="AV86">
        <v>0</v>
      </c>
      <c r="AW86">
        <v>1</v>
      </c>
      <c r="AX86">
        <v>-1</v>
      </c>
      <c r="AY86">
        <v>0</v>
      </c>
      <c r="AZ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Y86*Source!I161</f>
        <v>0.020800000000000003</v>
      </c>
      <c r="CY86">
        <f t="shared" si="0"/>
        <v>3763.9</v>
      </c>
      <c r="CZ86">
        <f t="shared" si="1"/>
        <v>665</v>
      </c>
      <c r="DA86">
        <f t="shared" si="2"/>
        <v>5.66</v>
      </c>
      <c r="DB86">
        <v>0</v>
      </c>
    </row>
    <row r="87" spans="1:106" ht="12.75">
      <c r="A87">
        <f>ROW(Source!A161)</f>
        <v>161</v>
      </c>
      <c r="B87">
        <v>42253831</v>
      </c>
      <c r="C87">
        <v>42255033</v>
      </c>
      <c r="D87">
        <v>36825608</v>
      </c>
      <c r="E87">
        <v>1</v>
      </c>
      <c r="F87">
        <v>1</v>
      </c>
      <c r="G87">
        <v>1</v>
      </c>
      <c r="H87">
        <v>3</v>
      </c>
      <c r="I87" t="s">
        <v>572</v>
      </c>
      <c r="J87" t="s">
        <v>573</v>
      </c>
      <c r="K87" t="s">
        <v>574</v>
      </c>
      <c r="L87">
        <v>1348</v>
      </c>
      <c r="N87">
        <v>1009</v>
      </c>
      <c r="O87" t="s">
        <v>246</v>
      </c>
      <c r="P87" t="s">
        <v>246</v>
      </c>
      <c r="Q87">
        <v>1000</v>
      </c>
      <c r="W87">
        <v>0</v>
      </c>
      <c r="X87">
        <v>-480376383</v>
      </c>
      <c r="Y87">
        <v>0.0005</v>
      </c>
      <c r="AA87">
        <v>57732</v>
      </c>
      <c r="AB87">
        <v>0</v>
      </c>
      <c r="AC87">
        <v>0</v>
      </c>
      <c r="AD87">
        <v>0</v>
      </c>
      <c r="AE87">
        <v>10200</v>
      </c>
      <c r="AF87">
        <v>0</v>
      </c>
      <c r="AG87">
        <v>0</v>
      </c>
      <c r="AH87">
        <v>0</v>
      </c>
      <c r="AI87">
        <v>5.66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0.0005</v>
      </c>
      <c r="AV87">
        <v>0</v>
      </c>
      <c r="AW87">
        <v>2</v>
      </c>
      <c r="AX87">
        <v>42255054</v>
      </c>
      <c r="AY87">
        <v>1</v>
      </c>
      <c r="AZ87">
        <v>0</v>
      </c>
      <c r="BA87">
        <v>84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Y87*Source!I161</f>
        <v>1E-05</v>
      </c>
      <c r="CY87">
        <f t="shared" si="0"/>
        <v>57732</v>
      </c>
      <c r="CZ87">
        <f t="shared" si="1"/>
        <v>10200</v>
      </c>
      <c r="DA87">
        <f t="shared" si="2"/>
        <v>5.66</v>
      </c>
      <c r="DB87">
        <v>0</v>
      </c>
    </row>
    <row r="88" spans="1:106" ht="12.75">
      <c r="A88">
        <f>ROW(Source!A161)</f>
        <v>161</v>
      </c>
      <c r="B88">
        <v>42253831</v>
      </c>
      <c r="C88">
        <v>42255033</v>
      </c>
      <c r="D88">
        <v>36825646</v>
      </c>
      <c r="E88">
        <v>1</v>
      </c>
      <c r="F88">
        <v>1</v>
      </c>
      <c r="G88">
        <v>1</v>
      </c>
      <c r="H88">
        <v>3</v>
      </c>
      <c r="I88" t="s">
        <v>575</v>
      </c>
      <c r="J88" t="s">
        <v>576</v>
      </c>
      <c r="K88" t="s">
        <v>577</v>
      </c>
      <c r="L88">
        <v>1348</v>
      </c>
      <c r="N88">
        <v>1009</v>
      </c>
      <c r="O88" t="s">
        <v>246</v>
      </c>
      <c r="P88" t="s">
        <v>246</v>
      </c>
      <c r="Q88">
        <v>1000</v>
      </c>
      <c r="W88">
        <v>0</v>
      </c>
      <c r="X88">
        <v>-1396314973</v>
      </c>
      <c r="Y88">
        <v>0.0095</v>
      </c>
      <c r="AA88">
        <v>25216.43</v>
      </c>
      <c r="AB88">
        <v>0</v>
      </c>
      <c r="AC88">
        <v>0</v>
      </c>
      <c r="AD88">
        <v>0</v>
      </c>
      <c r="AE88">
        <v>4455.2</v>
      </c>
      <c r="AF88">
        <v>0</v>
      </c>
      <c r="AG88">
        <v>0</v>
      </c>
      <c r="AH88">
        <v>0</v>
      </c>
      <c r="AI88">
        <v>5.66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0.0095</v>
      </c>
      <c r="AV88">
        <v>0</v>
      </c>
      <c r="AW88">
        <v>2</v>
      </c>
      <c r="AX88">
        <v>42255055</v>
      </c>
      <c r="AY88">
        <v>1</v>
      </c>
      <c r="AZ88">
        <v>0</v>
      </c>
      <c r="BA88">
        <v>85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Y88*Source!I161</f>
        <v>0.00019</v>
      </c>
      <c r="CY88">
        <f t="shared" si="0"/>
        <v>25216.43</v>
      </c>
      <c r="CZ88">
        <f t="shared" si="1"/>
        <v>4455.2</v>
      </c>
      <c r="DA88">
        <f t="shared" si="2"/>
        <v>5.66</v>
      </c>
      <c r="DB88">
        <v>0</v>
      </c>
    </row>
    <row r="89" spans="1:106" ht="12.75">
      <c r="A89">
        <f>ROW(Source!A161)</f>
        <v>161</v>
      </c>
      <c r="B89">
        <v>42253831</v>
      </c>
      <c r="C89">
        <v>42255033</v>
      </c>
      <c r="D89">
        <v>36830315</v>
      </c>
      <c r="E89">
        <v>1</v>
      </c>
      <c r="F89">
        <v>1</v>
      </c>
      <c r="G89">
        <v>1</v>
      </c>
      <c r="H89">
        <v>3</v>
      </c>
      <c r="I89" t="s">
        <v>578</v>
      </c>
      <c r="J89" t="s">
        <v>579</v>
      </c>
      <c r="K89" t="s">
        <v>580</v>
      </c>
      <c r="L89">
        <v>1339</v>
      </c>
      <c r="N89">
        <v>1007</v>
      </c>
      <c r="O89" t="s">
        <v>140</v>
      </c>
      <c r="P89" t="s">
        <v>140</v>
      </c>
      <c r="Q89">
        <v>1</v>
      </c>
      <c r="W89">
        <v>0</v>
      </c>
      <c r="X89">
        <v>-395792271</v>
      </c>
      <c r="Y89">
        <v>0.21</v>
      </c>
      <c r="AA89">
        <v>7284.42</v>
      </c>
      <c r="AB89">
        <v>0</v>
      </c>
      <c r="AC89">
        <v>0</v>
      </c>
      <c r="AD89">
        <v>0</v>
      </c>
      <c r="AE89">
        <v>1287</v>
      </c>
      <c r="AF89">
        <v>0</v>
      </c>
      <c r="AG89">
        <v>0</v>
      </c>
      <c r="AH89">
        <v>0</v>
      </c>
      <c r="AI89">
        <v>5.66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0.21</v>
      </c>
      <c r="AV89">
        <v>0</v>
      </c>
      <c r="AW89">
        <v>2</v>
      </c>
      <c r="AX89">
        <v>42255057</v>
      </c>
      <c r="AY89">
        <v>1</v>
      </c>
      <c r="AZ89">
        <v>0</v>
      </c>
      <c r="BA89">
        <v>87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Y89*Source!I161</f>
        <v>0.0042</v>
      </c>
      <c r="CY89">
        <f t="shared" si="0"/>
        <v>7284.42</v>
      </c>
      <c r="CZ89">
        <f t="shared" si="1"/>
        <v>1287</v>
      </c>
      <c r="DA89">
        <f t="shared" si="2"/>
        <v>5.66</v>
      </c>
      <c r="DB89">
        <v>0</v>
      </c>
    </row>
    <row r="90" spans="1:106" ht="12.75">
      <c r="A90">
        <f>ROW(Source!A161)</f>
        <v>161</v>
      </c>
      <c r="B90">
        <v>42253831</v>
      </c>
      <c r="C90">
        <v>42255033</v>
      </c>
      <c r="D90">
        <v>36830505</v>
      </c>
      <c r="E90">
        <v>1</v>
      </c>
      <c r="F90">
        <v>1</v>
      </c>
      <c r="G90">
        <v>1</v>
      </c>
      <c r="H90">
        <v>3</v>
      </c>
      <c r="I90" t="s">
        <v>581</v>
      </c>
      <c r="J90" t="s">
        <v>582</v>
      </c>
      <c r="K90" t="s">
        <v>583</v>
      </c>
      <c r="L90">
        <v>1339</v>
      </c>
      <c r="N90">
        <v>1007</v>
      </c>
      <c r="O90" t="s">
        <v>140</v>
      </c>
      <c r="P90" t="s">
        <v>140</v>
      </c>
      <c r="Q90">
        <v>1</v>
      </c>
      <c r="W90">
        <v>0</v>
      </c>
      <c r="X90">
        <v>-828683394</v>
      </c>
      <c r="Y90">
        <v>0.18</v>
      </c>
      <c r="AA90">
        <v>6537.3</v>
      </c>
      <c r="AB90">
        <v>0</v>
      </c>
      <c r="AC90">
        <v>0</v>
      </c>
      <c r="AD90">
        <v>0</v>
      </c>
      <c r="AE90">
        <v>1155</v>
      </c>
      <c r="AF90">
        <v>0</v>
      </c>
      <c r="AG90">
        <v>0</v>
      </c>
      <c r="AH90">
        <v>0</v>
      </c>
      <c r="AI90">
        <v>5.66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0.18</v>
      </c>
      <c r="AV90">
        <v>0</v>
      </c>
      <c r="AW90">
        <v>2</v>
      </c>
      <c r="AX90">
        <v>42255058</v>
      </c>
      <c r="AY90">
        <v>1</v>
      </c>
      <c r="AZ90">
        <v>0</v>
      </c>
      <c r="BA90">
        <v>88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Y90*Source!I161</f>
        <v>0.0036</v>
      </c>
      <c r="CY90">
        <f t="shared" si="0"/>
        <v>6537.3</v>
      </c>
      <c r="CZ90">
        <f t="shared" si="1"/>
        <v>1155</v>
      </c>
      <c r="DA90">
        <f t="shared" si="2"/>
        <v>5.66</v>
      </c>
      <c r="DB90">
        <v>0</v>
      </c>
    </row>
    <row r="91" spans="1:106" ht="12.75">
      <c r="A91">
        <f>ROW(Source!A163)</f>
        <v>163</v>
      </c>
      <c r="B91">
        <v>42253831</v>
      </c>
      <c r="C91">
        <v>42255060</v>
      </c>
      <c r="D91">
        <v>37064928</v>
      </c>
      <c r="E91">
        <v>1</v>
      </c>
      <c r="F91">
        <v>1</v>
      </c>
      <c r="G91">
        <v>1</v>
      </c>
      <c r="H91">
        <v>1</v>
      </c>
      <c r="I91" t="s">
        <v>584</v>
      </c>
      <c r="K91" t="s">
        <v>585</v>
      </c>
      <c r="L91">
        <v>1191</v>
      </c>
      <c r="N91">
        <v>1013</v>
      </c>
      <c r="O91" t="s">
        <v>462</v>
      </c>
      <c r="P91" t="s">
        <v>462</v>
      </c>
      <c r="Q91">
        <v>1</v>
      </c>
      <c r="W91">
        <v>0</v>
      </c>
      <c r="X91">
        <v>145020957</v>
      </c>
      <c r="Y91">
        <v>9</v>
      </c>
      <c r="AA91">
        <v>0</v>
      </c>
      <c r="AB91">
        <v>0</v>
      </c>
      <c r="AC91">
        <v>0</v>
      </c>
      <c r="AD91">
        <v>181.04</v>
      </c>
      <c r="AE91">
        <v>0</v>
      </c>
      <c r="AF91">
        <v>0</v>
      </c>
      <c r="AG91">
        <v>0</v>
      </c>
      <c r="AH91">
        <v>9.07</v>
      </c>
      <c r="AI91">
        <v>1</v>
      </c>
      <c r="AJ91">
        <v>1</v>
      </c>
      <c r="AK91">
        <v>1</v>
      </c>
      <c r="AL91">
        <v>19.96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9</v>
      </c>
      <c r="AV91">
        <v>1</v>
      </c>
      <c r="AW91">
        <v>2</v>
      </c>
      <c r="AX91">
        <v>42255068</v>
      </c>
      <c r="AY91">
        <v>1</v>
      </c>
      <c r="AZ91">
        <v>0</v>
      </c>
      <c r="BA91">
        <v>89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Y91*Source!I163</f>
        <v>32.4</v>
      </c>
      <c r="CY91">
        <f>AD91</f>
        <v>181.04</v>
      </c>
      <c r="CZ91">
        <f>AH91</f>
        <v>9.07</v>
      </c>
      <c r="DA91">
        <f>AL91</f>
        <v>19.96</v>
      </c>
      <c r="DB91">
        <v>0</v>
      </c>
    </row>
    <row r="92" spans="1:106" ht="12.75">
      <c r="A92">
        <f>ROW(Source!A163)</f>
        <v>163</v>
      </c>
      <c r="B92">
        <v>42253831</v>
      </c>
      <c r="C92">
        <v>42255060</v>
      </c>
      <c r="D92">
        <v>36883789</v>
      </c>
      <c r="E92">
        <v>1</v>
      </c>
      <c r="F92">
        <v>1</v>
      </c>
      <c r="G92">
        <v>1</v>
      </c>
      <c r="H92">
        <v>2</v>
      </c>
      <c r="I92" t="s">
        <v>586</v>
      </c>
      <c r="J92" t="s">
        <v>587</v>
      </c>
      <c r="K92" t="s">
        <v>588</v>
      </c>
      <c r="L92">
        <v>1368</v>
      </c>
      <c r="N92">
        <v>1011</v>
      </c>
      <c r="O92" t="s">
        <v>470</v>
      </c>
      <c r="P92" t="s">
        <v>470</v>
      </c>
      <c r="Q92">
        <v>1</v>
      </c>
      <c r="W92">
        <v>0</v>
      </c>
      <c r="X92">
        <v>792402865</v>
      </c>
      <c r="Y92">
        <v>0.03</v>
      </c>
      <c r="AA92">
        <v>0</v>
      </c>
      <c r="AB92">
        <v>8.53</v>
      </c>
      <c r="AC92">
        <v>0</v>
      </c>
      <c r="AD92">
        <v>0</v>
      </c>
      <c r="AE92">
        <v>0</v>
      </c>
      <c r="AF92">
        <v>1.2</v>
      </c>
      <c r="AG92">
        <v>0</v>
      </c>
      <c r="AH92">
        <v>0</v>
      </c>
      <c r="AI92">
        <v>1</v>
      </c>
      <c r="AJ92">
        <v>7.11</v>
      </c>
      <c r="AK92">
        <v>19.96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0.03</v>
      </c>
      <c r="AV92">
        <v>0</v>
      </c>
      <c r="AW92">
        <v>2</v>
      </c>
      <c r="AX92">
        <v>42255069</v>
      </c>
      <c r="AY92">
        <v>1</v>
      </c>
      <c r="AZ92">
        <v>0</v>
      </c>
      <c r="BA92">
        <v>90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Y92*Source!I163</f>
        <v>0.108</v>
      </c>
      <c r="CY92">
        <f>AB92</f>
        <v>8.53</v>
      </c>
      <c r="CZ92">
        <f>AF92</f>
        <v>1.2</v>
      </c>
      <c r="DA92">
        <f>AJ92</f>
        <v>7.11</v>
      </c>
      <c r="DB92">
        <v>0</v>
      </c>
    </row>
    <row r="93" spans="1:106" ht="12.75">
      <c r="A93">
        <f>ROW(Source!A163)</f>
        <v>163</v>
      </c>
      <c r="B93">
        <v>42253831</v>
      </c>
      <c r="C93">
        <v>42255060</v>
      </c>
      <c r="D93">
        <v>36883858</v>
      </c>
      <c r="E93">
        <v>1</v>
      </c>
      <c r="F93">
        <v>1</v>
      </c>
      <c r="G93">
        <v>1</v>
      </c>
      <c r="H93">
        <v>2</v>
      </c>
      <c r="I93" t="s">
        <v>501</v>
      </c>
      <c r="J93" t="s">
        <v>502</v>
      </c>
      <c r="K93" t="s">
        <v>503</v>
      </c>
      <c r="L93">
        <v>1368</v>
      </c>
      <c r="N93">
        <v>1011</v>
      </c>
      <c r="O93" t="s">
        <v>470</v>
      </c>
      <c r="P93" t="s">
        <v>470</v>
      </c>
      <c r="Q93">
        <v>1</v>
      </c>
      <c r="W93">
        <v>0</v>
      </c>
      <c r="X93">
        <v>-353815937</v>
      </c>
      <c r="Y93">
        <v>0.03</v>
      </c>
      <c r="AA93">
        <v>0</v>
      </c>
      <c r="AB93">
        <v>57.59</v>
      </c>
      <c r="AC93">
        <v>0</v>
      </c>
      <c r="AD93">
        <v>0</v>
      </c>
      <c r="AE93">
        <v>0</v>
      </c>
      <c r="AF93">
        <v>8.1</v>
      </c>
      <c r="AG93">
        <v>0</v>
      </c>
      <c r="AH93">
        <v>0</v>
      </c>
      <c r="AI93">
        <v>1</v>
      </c>
      <c r="AJ93">
        <v>7.11</v>
      </c>
      <c r="AK93">
        <v>19.96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0.03</v>
      </c>
      <c r="AV93">
        <v>0</v>
      </c>
      <c r="AW93">
        <v>2</v>
      </c>
      <c r="AX93">
        <v>42255070</v>
      </c>
      <c r="AY93">
        <v>1</v>
      </c>
      <c r="AZ93">
        <v>0</v>
      </c>
      <c r="BA93">
        <v>91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Y93*Source!I163</f>
        <v>0.108</v>
      </c>
      <c r="CY93">
        <f>AB93</f>
        <v>57.59</v>
      </c>
      <c r="CZ93">
        <f>AF93</f>
        <v>8.1</v>
      </c>
      <c r="DA93">
        <f>AJ93</f>
        <v>7.11</v>
      </c>
      <c r="DB93">
        <v>0</v>
      </c>
    </row>
    <row r="94" spans="1:106" ht="12.75">
      <c r="A94">
        <f>ROW(Source!A163)</f>
        <v>163</v>
      </c>
      <c r="B94">
        <v>42253831</v>
      </c>
      <c r="C94">
        <v>42255060</v>
      </c>
      <c r="D94">
        <v>36800140</v>
      </c>
      <c r="E94">
        <v>1</v>
      </c>
      <c r="F94">
        <v>1</v>
      </c>
      <c r="G94">
        <v>1</v>
      </c>
      <c r="H94">
        <v>3</v>
      </c>
      <c r="I94" t="s">
        <v>589</v>
      </c>
      <c r="J94" t="s">
        <v>590</v>
      </c>
      <c r="K94" t="s">
        <v>591</v>
      </c>
      <c r="L94">
        <v>1339</v>
      </c>
      <c r="N94">
        <v>1007</v>
      </c>
      <c r="O94" t="s">
        <v>140</v>
      </c>
      <c r="P94" t="s">
        <v>140</v>
      </c>
      <c r="Q94">
        <v>1</v>
      </c>
      <c r="W94">
        <v>0</v>
      </c>
      <c r="X94">
        <v>1706747518</v>
      </c>
      <c r="Y94">
        <v>0.0045</v>
      </c>
      <c r="AA94">
        <v>217.97</v>
      </c>
      <c r="AB94">
        <v>0</v>
      </c>
      <c r="AC94">
        <v>0</v>
      </c>
      <c r="AD94">
        <v>0</v>
      </c>
      <c r="AE94">
        <v>38.51</v>
      </c>
      <c r="AF94">
        <v>0</v>
      </c>
      <c r="AG94">
        <v>0</v>
      </c>
      <c r="AH94">
        <v>0</v>
      </c>
      <c r="AI94">
        <v>5.66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0.0045</v>
      </c>
      <c r="AV94">
        <v>0</v>
      </c>
      <c r="AW94">
        <v>2</v>
      </c>
      <c r="AX94">
        <v>42255071</v>
      </c>
      <c r="AY94">
        <v>1</v>
      </c>
      <c r="AZ94">
        <v>0</v>
      </c>
      <c r="BA94">
        <v>92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Y94*Source!I163</f>
        <v>0.0162</v>
      </c>
      <c r="CY94">
        <f>AA94</f>
        <v>217.97</v>
      </c>
      <c r="CZ94">
        <f>AE94</f>
        <v>38.51</v>
      </c>
      <c r="DA94">
        <f>AI94</f>
        <v>5.66</v>
      </c>
      <c r="DB94">
        <v>0</v>
      </c>
    </row>
    <row r="95" spans="1:106" ht="12.75">
      <c r="A95">
        <f>ROW(Source!A163)</f>
        <v>163</v>
      </c>
      <c r="B95">
        <v>42253831</v>
      </c>
      <c r="C95">
        <v>42255060</v>
      </c>
      <c r="D95">
        <v>36800159</v>
      </c>
      <c r="E95">
        <v>1</v>
      </c>
      <c r="F95">
        <v>1</v>
      </c>
      <c r="G95">
        <v>1</v>
      </c>
      <c r="H95">
        <v>3</v>
      </c>
      <c r="I95" t="s">
        <v>592</v>
      </c>
      <c r="J95" t="s">
        <v>593</v>
      </c>
      <c r="K95" t="s">
        <v>594</v>
      </c>
      <c r="L95">
        <v>1339</v>
      </c>
      <c r="N95">
        <v>1007</v>
      </c>
      <c r="O95" t="s">
        <v>140</v>
      </c>
      <c r="P95" t="s">
        <v>140</v>
      </c>
      <c r="Q95">
        <v>1</v>
      </c>
      <c r="W95">
        <v>0</v>
      </c>
      <c r="X95">
        <v>1262771840</v>
      </c>
      <c r="Y95">
        <v>0.022</v>
      </c>
      <c r="AA95">
        <v>35.21</v>
      </c>
      <c r="AB95">
        <v>0</v>
      </c>
      <c r="AC95">
        <v>0</v>
      </c>
      <c r="AD95">
        <v>0</v>
      </c>
      <c r="AE95">
        <v>6.22</v>
      </c>
      <c r="AF95">
        <v>0</v>
      </c>
      <c r="AG95">
        <v>0</v>
      </c>
      <c r="AH95">
        <v>0</v>
      </c>
      <c r="AI95">
        <v>5.66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0.022</v>
      </c>
      <c r="AV95">
        <v>0</v>
      </c>
      <c r="AW95">
        <v>2</v>
      </c>
      <c r="AX95">
        <v>42255072</v>
      </c>
      <c r="AY95">
        <v>1</v>
      </c>
      <c r="AZ95">
        <v>0</v>
      </c>
      <c r="BA95">
        <v>93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Y95*Source!I163</f>
        <v>0.07919999999999999</v>
      </c>
      <c r="CY95">
        <f>AA95</f>
        <v>35.21</v>
      </c>
      <c r="CZ95">
        <f>AE95</f>
        <v>6.22</v>
      </c>
      <c r="DA95">
        <f>AI95</f>
        <v>5.66</v>
      </c>
      <c r="DB95">
        <v>0</v>
      </c>
    </row>
    <row r="96" spans="1:106" ht="12.75">
      <c r="A96">
        <f>ROW(Source!A163)</f>
        <v>163</v>
      </c>
      <c r="B96">
        <v>42253831</v>
      </c>
      <c r="C96">
        <v>42255060</v>
      </c>
      <c r="D96">
        <v>36800420</v>
      </c>
      <c r="E96">
        <v>1</v>
      </c>
      <c r="F96">
        <v>1</v>
      </c>
      <c r="G96">
        <v>1</v>
      </c>
      <c r="H96">
        <v>3</v>
      </c>
      <c r="I96" t="s">
        <v>595</v>
      </c>
      <c r="J96" t="s">
        <v>596</v>
      </c>
      <c r="K96" t="s">
        <v>597</v>
      </c>
      <c r="L96">
        <v>1348</v>
      </c>
      <c r="N96">
        <v>1009</v>
      </c>
      <c r="O96" t="s">
        <v>246</v>
      </c>
      <c r="P96" t="s">
        <v>246</v>
      </c>
      <c r="Q96">
        <v>1000</v>
      </c>
      <c r="W96">
        <v>0</v>
      </c>
      <c r="X96">
        <v>-1358795155</v>
      </c>
      <c r="Y96">
        <v>2E-05</v>
      </c>
      <c r="AA96">
        <v>17206.4</v>
      </c>
      <c r="AB96">
        <v>0</v>
      </c>
      <c r="AC96">
        <v>0</v>
      </c>
      <c r="AD96">
        <v>0</v>
      </c>
      <c r="AE96">
        <v>3040</v>
      </c>
      <c r="AF96">
        <v>0</v>
      </c>
      <c r="AG96">
        <v>0</v>
      </c>
      <c r="AH96">
        <v>0</v>
      </c>
      <c r="AI96">
        <v>5.66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2E-05</v>
      </c>
      <c r="AV96">
        <v>0</v>
      </c>
      <c r="AW96">
        <v>2</v>
      </c>
      <c r="AX96">
        <v>42255073</v>
      </c>
      <c r="AY96">
        <v>1</v>
      </c>
      <c r="AZ96">
        <v>0</v>
      </c>
      <c r="BA96">
        <v>94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Y96*Source!I163</f>
        <v>7.2E-05</v>
      </c>
      <c r="CY96">
        <f>AA96</f>
        <v>17206.4</v>
      </c>
      <c r="CZ96">
        <f>AE96</f>
        <v>3040</v>
      </c>
      <c r="DA96">
        <f>AI96</f>
        <v>5.66</v>
      </c>
      <c r="DB96">
        <v>0</v>
      </c>
    </row>
    <row r="97" spans="1:106" ht="12.75">
      <c r="A97">
        <f>ROW(Source!A163)</f>
        <v>163</v>
      </c>
      <c r="B97">
        <v>42253831</v>
      </c>
      <c r="C97">
        <v>42255060</v>
      </c>
      <c r="D97">
        <v>36803256</v>
      </c>
      <c r="E97">
        <v>1</v>
      </c>
      <c r="F97">
        <v>1</v>
      </c>
      <c r="G97">
        <v>1</v>
      </c>
      <c r="H97">
        <v>3</v>
      </c>
      <c r="I97" t="s">
        <v>598</v>
      </c>
      <c r="J97" t="s">
        <v>599</v>
      </c>
      <c r="K97" t="s">
        <v>600</v>
      </c>
      <c r="L97">
        <v>1348</v>
      </c>
      <c r="N97">
        <v>1009</v>
      </c>
      <c r="O97" t="s">
        <v>246</v>
      </c>
      <c r="P97" t="s">
        <v>246</v>
      </c>
      <c r="Q97">
        <v>1000</v>
      </c>
      <c r="W97">
        <v>0</v>
      </c>
      <c r="X97">
        <v>-714836380</v>
      </c>
      <c r="Y97">
        <v>1E-05</v>
      </c>
      <c r="AA97">
        <v>58382.96</v>
      </c>
      <c r="AB97">
        <v>0</v>
      </c>
      <c r="AC97">
        <v>0</v>
      </c>
      <c r="AD97">
        <v>0</v>
      </c>
      <c r="AE97">
        <v>10315.01</v>
      </c>
      <c r="AF97">
        <v>0</v>
      </c>
      <c r="AG97">
        <v>0</v>
      </c>
      <c r="AH97">
        <v>0</v>
      </c>
      <c r="AI97">
        <v>5.66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1E-05</v>
      </c>
      <c r="AV97">
        <v>0</v>
      </c>
      <c r="AW97">
        <v>2</v>
      </c>
      <c r="AX97">
        <v>42255074</v>
      </c>
      <c r="AY97">
        <v>1</v>
      </c>
      <c r="AZ97">
        <v>0</v>
      </c>
      <c r="BA97">
        <v>95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Y97*Source!I163</f>
        <v>3.6E-05</v>
      </c>
      <c r="CY97">
        <f>AA97</f>
        <v>58382.96</v>
      </c>
      <c r="CZ97">
        <f>AE97</f>
        <v>10315.01</v>
      </c>
      <c r="DA97">
        <f>AI97</f>
        <v>5.66</v>
      </c>
      <c r="DB97">
        <v>0</v>
      </c>
    </row>
    <row r="98" spans="1:106" ht="12.75">
      <c r="A98">
        <f>ROW(Source!A164)</f>
        <v>164</v>
      </c>
      <c r="B98">
        <v>42253831</v>
      </c>
      <c r="C98">
        <v>42255076</v>
      </c>
      <c r="D98">
        <v>37072767</v>
      </c>
      <c r="E98">
        <v>1</v>
      </c>
      <c r="F98">
        <v>1</v>
      </c>
      <c r="G98">
        <v>1</v>
      </c>
      <c r="H98">
        <v>1</v>
      </c>
      <c r="I98" t="s">
        <v>601</v>
      </c>
      <c r="K98" t="s">
        <v>602</v>
      </c>
      <c r="L98">
        <v>1191</v>
      </c>
      <c r="N98">
        <v>1013</v>
      </c>
      <c r="O98" t="s">
        <v>462</v>
      </c>
      <c r="P98" t="s">
        <v>462</v>
      </c>
      <c r="Q98">
        <v>1</v>
      </c>
      <c r="W98">
        <v>0</v>
      </c>
      <c r="X98">
        <v>-1027537862</v>
      </c>
      <c r="Y98">
        <v>362.52</v>
      </c>
      <c r="AA98">
        <v>0</v>
      </c>
      <c r="AB98">
        <v>0</v>
      </c>
      <c r="AC98">
        <v>0</v>
      </c>
      <c r="AD98">
        <v>183.23</v>
      </c>
      <c r="AE98">
        <v>0</v>
      </c>
      <c r="AF98">
        <v>0</v>
      </c>
      <c r="AG98">
        <v>0</v>
      </c>
      <c r="AH98">
        <v>9.18</v>
      </c>
      <c r="AI98">
        <v>1</v>
      </c>
      <c r="AJ98">
        <v>1</v>
      </c>
      <c r="AK98">
        <v>1</v>
      </c>
      <c r="AL98">
        <v>19.96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362.52</v>
      </c>
      <c r="AV98">
        <v>1</v>
      </c>
      <c r="AW98">
        <v>2</v>
      </c>
      <c r="AX98">
        <v>42255086</v>
      </c>
      <c r="AY98">
        <v>1</v>
      </c>
      <c r="AZ98">
        <v>0</v>
      </c>
      <c r="BA98">
        <v>97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Y98*Source!I164</f>
        <v>15.22584</v>
      </c>
      <c r="CY98">
        <f>AD98</f>
        <v>183.23</v>
      </c>
      <c r="CZ98">
        <f>AH98</f>
        <v>9.18</v>
      </c>
      <c r="DA98">
        <f>AL98</f>
        <v>19.96</v>
      </c>
      <c r="DB98">
        <v>0</v>
      </c>
    </row>
    <row r="99" spans="1:106" ht="12.75">
      <c r="A99">
        <f>ROW(Source!A164)</f>
        <v>164</v>
      </c>
      <c r="B99">
        <v>42253831</v>
      </c>
      <c r="C99">
        <v>42255076</v>
      </c>
      <c r="D99">
        <v>37064876</v>
      </c>
      <c r="E99">
        <v>1</v>
      </c>
      <c r="F99">
        <v>1</v>
      </c>
      <c r="G99">
        <v>1</v>
      </c>
      <c r="H99">
        <v>1</v>
      </c>
      <c r="I99" t="s">
        <v>465</v>
      </c>
      <c r="K99" t="s">
        <v>466</v>
      </c>
      <c r="L99">
        <v>1191</v>
      </c>
      <c r="N99">
        <v>1013</v>
      </c>
      <c r="O99" t="s">
        <v>462</v>
      </c>
      <c r="P99" t="s">
        <v>462</v>
      </c>
      <c r="Q99">
        <v>1</v>
      </c>
      <c r="W99">
        <v>0</v>
      </c>
      <c r="X99">
        <v>-1417349443</v>
      </c>
      <c r="Y99">
        <v>2.65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19.96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2.65</v>
      </c>
      <c r="AV99">
        <v>2</v>
      </c>
      <c r="AW99">
        <v>2</v>
      </c>
      <c r="AX99">
        <v>42255087</v>
      </c>
      <c r="AY99">
        <v>1</v>
      </c>
      <c r="AZ99">
        <v>0</v>
      </c>
      <c r="BA99">
        <v>98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Y99*Source!I164</f>
        <v>0.11130000000000001</v>
      </c>
      <c r="CY99">
        <f>AD99</f>
        <v>0</v>
      </c>
      <c r="CZ99">
        <f>AH99</f>
        <v>0</v>
      </c>
      <c r="DA99">
        <f>AL99</f>
        <v>1</v>
      </c>
      <c r="DB99">
        <v>0</v>
      </c>
    </row>
    <row r="100" spans="1:106" ht="12.75">
      <c r="A100">
        <f>ROW(Source!A164)</f>
        <v>164</v>
      </c>
      <c r="B100">
        <v>42253831</v>
      </c>
      <c r="C100">
        <v>42255076</v>
      </c>
      <c r="D100">
        <v>36882159</v>
      </c>
      <c r="E100">
        <v>1</v>
      </c>
      <c r="F100">
        <v>1</v>
      </c>
      <c r="G100">
        <v>1</v>
      </c>
      <c r="H100">
        <v>2</v>
      </c>
      <c r="I100" t="s">
        <v>495</v>
      </c>
      <c r="J100" t="s">
        <v>496</v>
      </c>
      <c r="K100" t="s">
        <v>497</v>
      </c>
      <c r="L100">
        <v>1368</v>
      </c>
      <c r="N100">
        <v>1011</v>
      </c>
      <c r="O100" t="s">
        <v>470</v>
      </c>
      <c r="P100" t="s">
        <v>470</v>
      </c>
      <c r="Q100">
        <v>1</v>
      </c>
      <c r="W100">
        <v>0</v>
      </c>
      <c r="X100">
        <v>-1718674368</v>
      </c>
      <c r="Y100">
        <v>0.36</v>
      </c>
      <c r="AA100">
        <v>0</v>
      </c>
      <c r="AB100">
        <v>796.25</v>
      </c>
      <c r="AC100">
        <v>269.46</v>
      </c>
      <c r="AD100">
        <v>0</v>
      </c>
      <c r="AE100">
        <v>0</v>
      </c>
      <c r="AF100">
        <v>111.99</v>
      </c>
      <c r="AG100">
        <v>13.5</v>
      </c>
      <c r="AH100">
        <v>0</v>
      </c>
      <c r="AI100">
        <v>1</v>
      </c>
      <c r="AJ100">
        <v>7.11</v>
      </c>
      <c r="AK100">
        <v>19.96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0.36</v>
      </c>
      <c r="AV100">
        <v>0</v>
      </c>
      <c r="AW100">
        <v>2</v>
      </c>
      <c r="AX100">
        <v>42255088</v>
      </c>
      <c r="AY100">
        <v>1</v>
      </c>
      <c r="AZ100">
        <v>0</v>
      </c>
      <c r="BA100">
        <v>99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Y100*Source!I164</f>
        <v>0.01512</v>
      </c>
      <c r="CY100">
        <f>AB100</f>
        <v>796.25</v>
      </c>
      <c r="CZ100">
        <f>AF100</f>
        <v>111.99</v>
      </c>
      <c r="DA100">
        <f>AJ100</f>
        <v>7.11</v>
      </c>
      <c r="DB100">
        <v>0</v>
      </c>
    </row>
    <row r="101" spans="1:106" ht="12.75">
      <c r="A101">
        <f>ROW(Source!A164)</f>
        <v>164</v>
      </c>
      <c r="B101">
        <v>42253831</v>
      </c>
      <c r="C101">
        <v>42255076</v>
      </c>
      <c r="D101">
        <v>36883275</v>
      </c>
      <c r="E101">
        <v>1</v>
      </c>
      <c r="F101">
        <v>1</v>
      </c>
      <c r="G101">
        <v>1</v>
      </c>
      <c r="H101">
        <v>2</v>
      </c>
      <c r="I101" t="s">
        <v>603</v>
      </c>
      <c r="J101" t="s">
        <v>604</v>
      </c>
      <c r="K101" t="s">
        <v>605</v>
      </c>
      <c r="L101">
        <v>1368</v>
      </c>
      <c r="N101">
        <v>1011</v>
      </c>
      <c r="O101" t="s">
        <v>470</v>
      </c>
      <c r="P101" t="s">
        <v>470</v>
      </c>
      <c r="Q101">
        <v>1</v>
      </c>
      <c r="W101">
        <v>0</v>
      </c>
      <c r="X101">
        <v>1027671805</v>
      </c>
      <c r="Y101">
        <v>15</v>
      </c>
      <c r="AA101">
        <v>0</v>
      </c>
      <c r="AB101">
        <v>187.14</v>
      </c>
      <c r="AC101">
        <v>0</v>
      </c>
      <c r="AD101">
        <v>0</v>
      </c>
      <c r="AE101">
        <v>0</v>
      </c>
      <c r="AF101">
        <v>26.32</v>
      </c>
      <c r="AG101">
        <v>0</v>
      </c>
      <c r="AH101">
        <v>0</v>
      </c>
      <c r="AI101">
        <v>1</v>
      </c>
      <c r="AJ101">
        <v>7.11</v>
      </c>
      <c r="AK101">
        <v>19.96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15</v>
      </c>
      <c r="AV101">
        <v>0</v>
      </c>
      <c r="AW101">
        <v>2</v>
      </c>
      <c r="AX101">
        <v>42255089</v>
      </c>
      <c r="AY101">
        <v>1</v>
      </c>
      <c r="AZ101">
        <v>0</v>
      </c>
      <c r="BA101">
        <v>100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Y101*Source!I164</f>
        <v>0.63</v>
      </c>
      <c r="CY101">
        <f>AB101</f>
        <v>187.14</v>
      </c>
      <c r="CZ101">
        <f>AF101</f>
        <v>26.32</v>
      </c>
      <c r="DA101">
        <f>AJ101</f>
        <v>7.11</v>
      </c>
      <c r="DB101">
        <v>0</v>
      </c>
    </row>
    <row r="102" spans="1:106" ht="12.75">
      <c r="A102">
        <f>ROW(Source!A164)</f>
        <v>164</v>
      </c>
      <c r="B102">
        <v>42253831</v>
      </c>
      <c r="C102">
        <v>42255076</v>
      </c>
      <c r="D102">
        <v>36883554</v>
      </c>
      <c r="E102">
        <v>1</v>
      </c>
      <c r="F102">
        <v>1</v>
      </c>
      <c r="G102">
        <v>1</v>
      </c>
      <c r="H102">
        <v>2</v>
      </c>
      <c r="I102" t="s">
        <v>498</v>
      </c>
      <c r="J102" t="s">
        <v>499</v>
      </c>
      <c r="K102" t="s">
        <v>500</v>
      </c>
      <c r="L102">
        <v>1368</v>
      </c>
      <c r="N102">
        <v>1011</v>
      </c>
      <c r="O102" t="s">
        <v>470</v>
      </c>
      <c r="P102" t="s">
        <v>470</v>
      </c>
      <c r="Q102">
        <v>1</v>
      </c>
      <c r="W102">
        <v>0</v>
      </c>
      <c r="X102">
        <v>1372534845</v>
      </c>
      <c r="Y102">
        <v>0.55</v>
      </c>
      <c r="AA102">
        <v>0</v>
      </c>
      <c r="AB102">
        <v>467.2</v>
      </c>
      <c r="AC102">
        <v>231.54</v>
      </c>
      <c r="AD102">
        <v>0</v>
      </c>
      <c r="AE102">
        <v>0</v>
      </c>
      <c r="AF102">
        <v>65.71</v>
      </c>
      <c r="AG102">
        <v>11.6</v>
      </c>
      <c r="AH102">
        <v>0</v>
      </c>
      <c r="AI102">
        <v>1</v>
      </c>
      <c r="AJ102">
        <v>7.11</v>
      </c>
      <c r="AK102">
        <v>19.96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0.55</v>
      </c>
      <c r="AV102">
        <v>0</v>
      </c>
      <c r="AW102">
        <v>2</v>
      </c>
      <c r="AX102">
        <v>42255090</v>
      </c>
      <c r="AY102">
        <v>1</v>
      </c>
      <c r="AZ102">
        <v>0</v>
      </c>
      <c r="BA102">
        <v>101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Y102*Source!I164</f>
        <v>0.023100000000000002</v>
      </c>
      <c r="CY102">
        <f>AB102</f>
        <v>467.2</v>
      </c>
      <c r="CZ102">
        <f>AF102</f>
        <v>65.71</v>
      </c>
      <c r="DA102">
        <f>AJ102</f>
        <v>7.11</v>
      </c>
      <c r="DB102">
        <v>0</v>
      </c>
    </row>
    <row r="103" spans="1:106" ht="12.75">
      <c r="A103">
        <f>ROW(Source!A164)</f>
        <v>164</v>
      </c>
      <c r="B103">
        <v>42253831</v>
      </c>
      <c r="C103">
        <v>42255076</v>
      </c>
      <c r="D103">
        <v>36883682</v>
      </c>
      <c r="E103">
        <v>1</v>
      </c>
      <c r="F103">
        <v>1</v>
      </c>
      <c r="G103">
        <v>1</v>
      </c>
      <c r="H103">
        <v>2</v>
      </c>
      <c r="I103" t="s">
        <v>606</v>
      </c>
      <c r="J103" t="s">
        <v>607</v>
      </c>
      <c r="K103" t="s">
        <v>608</v>
      </c>
      <c r="L103">
        <v>1368</v>
      </c>
      <c r="N103">
        <v>1011</v>
      </c>
      <c r="O103" t="s">
        <v>470</v>
      </c>
      <c r="P103" t="s">
        <v>470</v>
      </c>
      <c r="Q103">
        <v>1</v>
      </c>
      <c r="W103">
        <v>0</v>
      </c>
      <c r="X103">
        <v>250868595</v>
      </c>
      <c r="Y103">
        <v>1.74</v>
      </c>
      <c r="AA103">
        <v>0</v>
      </c>
      <c r="AB103">
        <v>192.75</v>
      </c>
      <c r="AC103">
        <v>231.54</v>
      </c>
      <c r="AD103">
        <v>0</v>
      </c>
      <c r="AE103">
        <v>0</v>
      </c>
      <c r="AF103">
        <v>27.11</v>
      </c>
      <c r="AG103">
        <v>11.6</v>
      </c>
      <c r="AH103">
        <v>0</v>
      </c>
      <c r="AI103">
        <v>1</v>
      </c>
      <c r="AJ103">
        <v>7.11</v>
      </c>
      <c r="AK103">
        <v>19.96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1.74</v>
      </c>
      <c r="AV103">
        <v>0</v>
      </c>
      <c r="AW103">
        <v>2</v>
      </c>
      <c r="AX103">
        <v>42255091</v>
      </c>
      <c r="AY103">
        <v>1</v>
      </c>
      <c r="AZ103">
        <v>0</v>
      </c>
      <c r="BA103">
        <v>102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Y103*Source!I164</f>
        <v>0.07308</v>
      </c>
      <c r="CY103">
        <f>AB103</f>
        <v>192.75</v>
      </c>
      <c r="CZ103">
        <f>AF103</f>
        <v>27.11</v>
      </c>
      <c r="DA103">
        <f>AJ103</f>
        <v>7.11</v>
      </c>
      <c r="DB103">
        <v>0</v>
      </c>
    </row>
    <row r="104" spans="1:106" ht="12.75">
      <c r="A104">
        <f>ROW(Source!A164)</f>
        <v>164</v>
      </c>
      <c r="B104">
        <v>42253831</v>
      </c>
      <c r="C104">
        <v>42255076</v>
      </c>
      <c r="D104">
        <v>36801792</v>
      </c>
      <c r="E104">
        <v>1</v>
      </c>
      <c r="F104">
        <v>1</v>
      </c>
      <c r="G104">
        <v>1</v>
      </c>
      <c r="H104">
        <v>3</v>
      </c>
      <c r="I104" t="s">
        <v>540</v>
      </c>
      <c r="J104" t="s">
        <v>541</v>
      </c>
      <c r="K104" t="s">
        <v>542</v>
      </c>
      <c r="L104">
        <v>1339</v>
      </c>
      <c r="N104">
        <v>1007</v>
      </c>
      <c r="O104" t="s">
        <v>140</v>
      </c>
      <c r="P104" t="s">
        <v>140</v>
      </c>
      <c r="Q104">
        <v>1</v>
      </c>
      <c r="W104">
        <v>0</v>
      </c>
      <c r="X104">
        <v>-1660354250</v>
      </c>
      <c r="Y104">
        <v>15.72</v>
      </c>
      <c r="AA104">
        <v>13.81</v>
      </c>
      <c r="AB104">
        <v>0</v>
      </c>
      <c r="AC104">
        <v>0</v>
      </c>
      <c r="AD104">
        <v>0</v>
      </c>
      <c r="AE104">
        <v>2.44</v>
      </c>
      <c r="AF104">
        <v>0</v>
      </c>
      <c r="AG104">
        <v>0</v>
      </c>
      <c r="AH104">
        <v>0</v>
      </c>
      <c r="AI104">
        <v>5.66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15.72</v>
      </c>
      <c r="AV104">
        <v>0</v>
      </c>
      <c r="AW104">
        <v>2</v>
      </c>
      <c r="AX104">
        <v>42255092</v>
      </c>
      <c r="AY104">
        <v>1</v>
      </c>
      <c r="AZ104">
        <v>0</v>
      </c>
      <c r="BA104">
        <v>103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Y104*Source!I164</f>
        <v>0.66024</v>
      </c>
      <c r="CY104">
        <f>AA104</f>
        <v>13.81</v>
      </c>
      <c r="CZ104">
        <f>AE104</f>
        <v>2.44</v>
      </c>
      <c r="DA104">
        <f>AI104</f>
        <v>5.66</v>
      </c>
      <c r="DB104">
        <v>0</v>
      </c>
    </row>
    <row r="105" spans="1:106" ht="12.75">
      <c r="A105">
        <f>ROW(Source!A164)</f>
        <v>164</v>
      </c>
      <c r="B105">
        <v>42253831</v>
      </c>
      <c r="C105">
        <v>42255076</v>
      </c>
      <c r="D105">
        <v>36805273</v>
      </c>
      <c r="E105">
        <v>1</v>
      </c>
      <c r="F105">
        <v>1</v>
      </c>
      <c r="G105">
        <v>1</v>
      </c>
      <c r="H105">
        <v>3</v>
      </c>
      <c r="I105" t="s">
        <v>609</v>
      </c>
      <c r="J105" t="s">
        <v>610</v>
      </c>
      <c r="K105" t="s">
        <v>611</v>
      </c>
      <c r="L105">
        <v>1346</v>
      </c>
      <c r="N105">
        <v>1009</v>
      </c>
      <c r="O105" t="s">
        <v>386</v>
      </c>
      <c r="P105" t="s">
        <v>386</v>
      </c>
      <c r="Q105">
        <v>1</v>
      </c>
      <c r="W105">
        <v>0</v>
      </c>
      <c r="X105">
        <v>-1995614613</v>
      </c>
      <c r="Y105">
        <v>68</v>
      </c>
      <c r="AA105">
        <v>148.86</v>
      </c>
      <c r="AB105">
        <v>0</v>
      </c>
      <c r="AC105">
        <v>0</v>
      </c>
      <c r="AD105">
        <v>0</v>
      </c>
      <c r="AE105">
        <v>26.3</v>
      </c>
      <c r="AF105">
        <v>0</v>
      </c>
      <c r="AG105">
        <v>0</v>
      </c>
      <c r="AH105">
        <v>0</v>
      </c>
      <c r="AI105">
        <v>5.66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68</v>
      </c>
      <c r="AV105">
        <v>0</v>
      </c>
      <c r="AW105">
        <v>2</v>
      </c>
      <c r="AX105">
        <v>42255093</v>
      </c>
      <c r="AY105">
        <v>1</v>
      </c>
      <c r="AZ105">
        <v>0</v>
      </c>
      <c r="BA105">
        <v>104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Y105*Source!I164</f>
        <v>2.8560000000000003</v>
      </c>
      <c r="CY105">
        <f>AA105</f>
        <v>148.86</v>
      </c>
      <c r="CZ105">
        <f>AE105</f>
        <v>26.3</v>
      </c>
      <c r="DA105">
        <f>AI105</f>
        <v>5.66</v>
      </c>
      <c r="DB105">
        <v>0</v>
      </c>
    </row>
    <row r="106" spans="1:106" ht="12.75">
      <c r="A106">
        <f>ROW(Source!A164)</f>
        <v>164</v>
      </c>
      <c r="B106">
        <v>42253831</v>
      </c>
      <c r="C106">
        <v>42255076</v>
      </c>
      <c r="D106">
        <v>36830315</v>
      </c>
      <c r="E106">
        <v>1</v>
      </c>
      <c r="F106">
        <v>1</v>
      </c>
      <c r="G106">
        <v>1</v>
      </c>
      <c r="H106">
        <v>3</v>
      </c>
      <c r="I106" t="s">
        <v>578</v>
      </c>
      <c r="J106" t="s">
        <v>579</v>
      </c>
      <c r="K106" t="s">
        <v>580</v>
      </c>
      <c r="L106">
        <v>1339</v>
      </c>
      <c r="N106">
        <v>1007</v>
      </c>
      <c r="O106" t="s">
        <v>140</v>
      </c>
      <c r="P106" t="s">
        <v>140</v>
      </c>
      <c r="Q106">
        <v>1</v>
      </c>
      <c r="W106">
        <v>0</v>
      </c>
      <c r="X106">
        <v>-395792271</v>
      </c>
      <c r="Y106">
        <v>0.06</v>
      </c>
      <c r="AA106">
        <v>7284.42</v>
      </c>
      <c r="AB106">
        <v>0</v>
      </c>
      <c r="AC106">
        <v>0</v>
      </c>
      <c r="AD106">
        <v>0</v>
      </c>
      <c r="AE106">
        <v>1287</v>
      </c>
      <c r="AF106">
        <v>0</v>
      </c>
      <c r="AG106">
        <v>0</v>
      </c>
      <c r="AH106">
        <v>0</v>
      </c>
      <c r="AI106">
        <v>5.66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0.06</v>
      </c>
      <c r="AV106">
        <v>0</v>
      </c>
      <c r="AW106">
        <v>2</v>
      </c>
      <c r="AX106">
        <v>42255095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Y106*Source!I164</f>
        <v>0.00252</v>
      </c>
      <c r="CY106">
        <f>AA106</f>
        <v>7284.42</v>
      </c>
      <c r="CZ106">
        <f>AE106</f>
        <v>1287</v>
      </c>
      <c r="DA106">
        <f>AI106</f>
        <v>5.66</v>
      </c>
      <c r="DB106">
        <v>0</v>
      </c>
    </row>
    <row r="107" spans="1:106" ht="12.75">
      <c r="A107">
        <f>ROW(Source!A166)</f>
        <v>166</v>
      </c>
      <c r="B107">
        <v>42253831</v>
      </c>
      <c r="C107">
        <v>42255099</v>
      </c>
      <c r="D107">
        <v>37071037</v>
      </c>
      <c r="E107">
        <v>1</v>
      </c>
      <c r="F107">
        <v>1</v>
      </c>
      <c r="G107">
        <v>1</v>
      </c>
      <c r="H107">
        <v>1</v>
      </c>
      <c r="I107" t="s">
        <v>493</v>
      </c>
      <c r="K107" t="s">
        <v>494</v>
      </c>
      <c r="L107">
        <v>1191</v>
      </c>
      <c r="N107">
        <v>1013</v>
      </c>
      <c r="O107" t="s">
        <v>462</v>
      </c>
      <c r="P107" t="s">
        <v>462</v>
      </c>
      <c r="Q107">
        <v>1</v>
      </c>
      <c r="W107">
        <v>0</v>
      </c>
      <c r="X107">
        <v>1069510174</v>
      </c>
      <c r="Y107">
        <v>46.33</v>
      </c>
      <c r="AA107">
        <v>0</v>
      </c>
      <c r="AB107">
        <v>0</v>
      </c>
      <c r="AC107">
        <v>0</v>
      </c>
      <c r="AD107">
        <v>192.02</v>
      </c>
      <c r="AE107">
        <v>0</v>
      </c>
      <c r="AF107">
        <v>0</v>
      </c>
      <c r="AG107">
        <v>0</v>
      </c>
      <c r="AH107">
        <v>9.62</v>
      </c>
      <c r="AI107">
        <v>1</v>
      </c>
      <c r="AJ107">
        <v>1</v>
      </c>
      <c r="AK107">
        <v>1</v>
      </c>
      <c r="AL107">
        <v>19.96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46.33</v>
      </c>
      <c r="AV107">
        <v>1</v>
      </c>
      <c r="AW107">
        <v>2</v>
      </c>
      <c r="AX107">
        <v>42255107</v>
      </c>
      <c r="AY107">
        <v>1</v>
      </c>
      <c r="AZ107">
        <v>0</v>
      </c>
      <c r="BA107">
        <v>109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Y107*Source!I166</f>
        <v>8.385729999999999</v>
      </c>
      <c r="CY107">
        <f>AD107</f>
        <v>192.02</v>
      </c>
      <c r="CZ107">
        <f>AH107</f>
        <v>9.62</v>
      </c>
      <c r="DA107">
        <f>AL107</f>
        <v>19.96</v>
      </c>
      <c r="DB107">
        <v>0</v>
      </c>
    </row>
    <row r="108" spans="1:106" ht="12.75">
      <c r="A108">
        <f>ROW(Source!A166)</f>
        <v>166</v>
      </c>
      <c r="B108">
        <v>42253831</v>
      </c>
      <c r="C108">
        <v>42255099</v>
      </c>
      <c r="D108">
        <v>37064876</v>
      </c>
      <c r="E108">
        <v>1</v>
      </c>
      <c r="F108">
        <v>1</v>
      </c>
      <c r="G108">
        <v>1</v>
      </c>
      <c r="H108">
        <v>1</v>
      </c>
      <c r="I108" t="s">
        <v>465</v>
      </c>
      <c r="K108" t="s">
        <v>466</v>
      </c>
      <c r="L108">
        <v>1191</v>
      </c>
      <c r="N108">
        <v>1013</v>
      </c>
      <c r="O108" t="s">
        <v>462</v>
      </c>
      <c r="P108" t="s">
        <v>462</v>
      </c>
      <c r="Q108">
        <v>1</v>
      </c>
      <c r="W108">
        <v>0</v>
      </c>
      <c r="X108">
        <v>-1417349443</v>
      </c>
      <c r="Y108">
        <v>4.38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19.96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4.38</v>
      </c>
      <c r="AV108">
        <v>2</v>
      </c>
      <c r="AW108">
        <v>2</v>
      </c>
      <c r="AX108">
        <v>42255108</v>
      </c>
      <c r="AY108">
        <v>1</v>
      </c>
      <c r="AZ108">
        <v>0</v>
      </c>
      <c r="BA108">
        <v>110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Y108*Source!I166</f>
        <v>0.7927799999999999</v>
      </c>
      <c r="CY108">
        <f>AD108</f>
        <v>0</v>
      </c>
      <c r="CZ108">
        <f>AH108</f>
        <v>0</v>
      </c>
      <c r="DA108">
        <f>AL108</f>
        <v>1</v>
      </c>
      <c r="DB108">
        <v>0</v>
      </c>
    </row>
    <row r="109" spans="1:106" ht="12.75">
      <c r="A109">
        <f>ROW(Source!A166)</f>
        <v>166</v>
      </c>
      <c r="B109">
        <v>42253831</v>
      </c>
      <c r="C109">
        <v>42255099</v>
      </c>
      <c r="D109">
        <v>36882159</v>
      </c>
      <c r="E109">
        <v>1</v>
      </c>
      <c r="F109">
        <v>1</v>
      </c>
      <c r="G109">
        <v>1</v>
      </c>
      <c r="H109">
        <v>2</v>
      </c>
      <c r="I109" t="s">
        <v>495</v>
      </c>
      <c r="J109" t="s">
        <v>496</v>
      </c>
      <c r="K109" t="s">
        <v>497</v>
      </c>
      <c r="L109">
        <v>1368</v>
      </c>
      <c r="N109">
        <v>1011</v>
      </c>
      <c r="O109" t="s">
        <v>470</v>
      </c>
      <c r="P109" t="s">
        <v>470</v>
      </c>
      <c r="Q109">
        <v>1</v>
      </c>
      <c r="W109">
        <v>0</v>
      </c>
      <c r="X109">
        <v>-1718674368</v>
      </c>
      <c r="Y109">
        <v>1.75</v>
      </c>
      <c r="AA109">
        <v>0</v>
      </c>
      <c r="AB109">
        <v>796.25</v>
      </c>
      <c r="AC109">
        <v>269.46</v>
      </c>
      <c r="AD109">
        <v>0</v>
      </c>
      <c r="AE109">
        <v>0</v>
      </c>
      <c r="AF109">
        <v>111.99</v>
      </c>
      <c r="AG109">
        <v>13.5</v>
      </c>
      <c r="AH109">
        <v>0</v>
      </c>
      <c r="AI109">
        <v>1</v>
      </c>
      <c r="AJ109">
        <v>7.11</v>
      </c>
      <c r="AK109">
        <v>19.96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1.75</v>
      </c>
      <c r="AV109">
        <v>0</v>
      </c>
      <c r="AW109">
        <v>2</v>
      </c>
      <c r="AX109">
        <v>42255109</v>
      </c>
      <c r="AY109">
        <v>1</v>
      </c>
      <c r="AZ109">
        <v>0</v>
      </c>
      <c r="BA109">
        <v>111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Y109*Source!I166</f>
        <v>0.31675</v>
      </c>
      <c r="CY109">
        <f>AB109</f>
        <v>796.25</v>
      </c>
      <c r="CZ109">
        <f>AF109</f>
        <v>111.99</v>
      </c>
      <c r="DA109">
        <f>AJ109</f>
        <v>7.11</v>
      </c>
      <c r="DB109">
        <v>0</v>
      </c>
    </row>
    <row r="110" spans="1:106" ht="12.75">
      <c r="A110">
        <f>ROW(Source!A166)</f>
        <v>166</v>
      </c>
      <c r="B110">
        <v>42253831</v>
      </c>
      <c r="C110">
        <v>42255099</v>
      </c>
      <c r="D110">
        <v>36883554</v>
      </c>
      <c r="E110">
        <v>1</v>
      </c>
      <c r="F110">
        <v>1</v>
      </c>
      <c r="G110">
        <v>1</v>
      </c>
      <c r="H110">
        <v>2</v>
      </c>
      <c r="I110" t="s">
        <v>498</v>
      </c>
      <c r="J110" t="s">
        <v>499</v>
      </c>
      <c r="K110" t="s">
        <v>500</v>
      </c>
      <c r="L110">
        <v>1368</v>
      </c>
      <c r="N110">
        <v>1011</v>
      </c>
      <c r="O110" t="s">
        <v>470</v>
      </c>
      <c r="P110" t="s">
        <v>470</v>
      </c>
      <c r="Q110">
        <v>1</v>
      </c>
      <c r="W110">
        <v>0</v>
      </c>
      <c r="X110">
        <v>1372534845</v>
      </c>
      <c r="Y110">
        <v>2.63</v>
      </c>
      <c r="AA110">
        <v>0</v>
      </c>
      <c r="AB110">
        <v>467.2</v>
      </c>
      <c r="AC110">
        <v>231.54</v>
      </c>
      <c r="AD110">
        <v>0</v>
      </c>
      <c r="AE110">
        <v>0</v>
      </c>
      <c r="AF110">
        <v>65.71</v>
      </c>
      <c r="AG110">
        <v>11.6</v>
      </c>
      <c r="AH110">
        <v>0</v>
      </c>
      <c r="AI110">
        <v>1</v>
      </c>
      <c r="AJ110">
        <v>7.11</v>
      </c>
      <c r="AK110">
        <v>19.96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2.63</v>
      </c>
      <c r="AV110">
        <v>0</v>
      </c>
      <c r="AW110">
        <v>2</v>
      </c>
      <c r="AX110">
        <v>42255110</v>
      </c>
      <c r="AY110">
        <v>1</v>
      </c>
      <c r="AZ110">
        <v>0</v>
      </c>
      <c r="BA110">
        <v>112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Y110*Source!I166</f>
        <v>0.47602999999999995</v>
      </c>
      <c r="CY110">
        <f>AB110</f>
        <v>467.2</v>
      </c>
      <c r="CZ110">
        <f>AF110</f>
        <v>65.71</v>
      </c>
      <c r="DA110">
        <f>AJ110</f>
        <v>7.11</v>
      </c>
      <c r="DB110">
        <v>0</v>
      </c>
    </row>
    <row r="111" spans="1:106" ht="12.75">
      <c r="A111">
        <f>ROW(Source!A166)</f>
        <v>166</v>
      </c>
      <c r="B111">
        <v>42253831</v>
      </c>
      <c r="C111">
        <v>42255099</v>
      </c>
      <c r="D111">
        <v>36883858</v>
      </c>
      <c r="E111">
        <v>1</v>
      </c>
      <c r="F111">
        <v>1</v>
      </c>
      <c r="G111">
        <v>1</v>
      </c>
      <c r="H111">
        <v>2</v>
      </c>
      <c r="I111" t="s">
        <v>501</v>
      </c>
      <c r="J111" t="s">
        <v>502</v>
      </c>
      <c r="K111" t="s">
        <v>503</v>
      </c>
      <c r="L111">
        <v>1368</v>
      </c>
      <c r="N111">
        <v>1011</v>
      </c>
      <c r="O111" t="s">
        <v>470</v>
      </c>
      <c r="P111" t="s">
        <v>470</v>
      </c>
      <c r="Q111">
        <v>1</v>
      </c>
      <c r="W111">
        <v>0</v>
      </c>
      <c r="X111">
        <v>-353815937</v>
      </c>
      <c r="Y111">
        <v>8.82</v>
      </c>
      <c r="AA111">
        <v>0</v>
      </c>
      <c r="AB111">
        <v>57.59</v>
      </c>
      <c r="AC111">
        <v>0</v>
      </c>
      <c r="AD111">
        <v>0</v>
      </c>
      <c r="AE111">
        <v>0</v>
      </c>
      <c r="AF111">
        <v>8.1</v>
      </c>
      <c r="AG111">
        <v>0</v>
      </c>
      <c r="AH111">
        <v>0</v>
      </c>
      <c r="AI111">
        <v>1</v>
      </c>
      <c r="AJ111">
        <v>7.11</v>
      </c>
      <c r="AK111">
        <v>19.96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8.82</v>
      </c>
      <c r="AV111">
        <v>0</v>
      </c>
      <c r="AW111">
        <v>2</v>
      </c>
      <c r="AX111">
        <v>42255111</v>
      </c>
      <c r="AY111">
        <v>1</v>
      </c>
      <c r="AZ111">
        <v>0</v>
      </c>
      <c r="BA111">
        <v>113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Y111*Source!I166</f>
        <v>1.59642</v>
      </c>
      <c r="CY111">
        <f>AB111</f>
        <v>57.59</v>
      </c>
      <c r="CZ111">
        <f>AF111</f>
        <v>8.1</v>
      </c>
      <c r="DA111">
        <f>AJ111</f>
        <v>7.11</v>
      </c>
      <c r="DB111">
        <v>0</v>
      </c>
    </row>
    <row r="112" spans="1:106" ht="12.75">
      <c r="A112">
        <f>ROW(Source!A166)</f>
        <v>166</v>
      </c>
      <c r="B112">
        <v>42253831</v>
      </c>
      <c r="C112">
        <v>42255099</v>
      </c>
      <c r="D112">
        <v>36803256</v>
      </c>
      <c r="E112">
        <v>1</v>
      </c>
      <c r="F112">
        <v>1</v>
      </c>
      <c r="G112">
        <v>1</v>
      </c>
      <c r="H112">
        <v>3</v>
      </c>
      <c r="I112" t="s">
        <v>598</v>
      </c>
      <c r="J112" t="s">
        <v>599</v>
      </c>
      <c r="K112" t="s">
        <v>600</v>
      </c>
      <c r="L112">
        <v>1348</v>
      </c>
      <c r="N112">
        <v>1009</v>
      </c>
      <c r="O112" t="s">
        <v>246</v>
      </c>
      <c r="P112" t="s">
        <v>246</v>
      </c>
      <c r="Q112">
        <v>1000</v>
      </c>
      <c r="W112">
        <v>0</v>
      </c>
      <c r="X112">
        <v>-714836380</v>
      </c>
      <c r="Y112">
        <v>0.007</v>
      </c>
      <c r="AA112">
        <v>58382.96</v>
      </c>
      <c r="AB112">
        <v>0</v>
      </c>
      <c r="AC112">
        <v>0</v>
      </c>
      <c r="AD112">
        <v>0</v>
      </c>
      <c r="AE112">
        <v>10315.01</v>
      </c>
      <c r="AF112">
        <v>0</v>
      </c>
      <c r="AG112">
        <v>0</v>
      </c>
      <c r="AH112">
        <v>0</v>
      </c>
      <c r="AI112">
        <v>5.66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0.007</v>
      </c>
      <c r="AV112">
        <v>0</v>
      </c>
      <c r="AW112">
        <v>2</v>
      </c>
      <c r="AX112">
        <v>42255112</v>
      </c>
      <c r="AY112">
        <v>1</v>
      </c>
      <c r="AZ112">
        <v>0</v>
      </c>
      <c r="BA112">
        <v>114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Y112*Source!I166</f>
        <v>0.001267</v>
      </c>
      <c r="CY112">
        <f>AA112</f>
        <v>58382.96</v>
      </c>
      <c r="CZ112">
        <f>AE112</f>
        <v>10315.01</v>
      </c>
      <c r="DA112">
        <f>AI112</f>
        <v>5.66</v>
      </c>
      <c r="DB112">
        <v>0</v>
      </c>
    </row>
    <row r="113" spans="1:106" ht="12.75">
      <c r="A113">
        <f>ROW(Source!A166)</f>
        <v>166</v>
      </c>
      <c r="B113">
        <v>42253831</v>
      </c>
      <c r="C113">
        <v>42255099</v>
      </c>
      <c r="D113">
        <v>36826585</v>
      </c>
      <c r="E113">
        <v>1</v>
      </c>
      <c r="F113">
        <v>1</v>
      </c>
      <c r="G113">
        <v>1</v>
      </c>
      <c r="H113">
        <v>3</v>
      </c>
      <c r="I113" t="s">
        <v>249</v>
      </c>
      <c r="J113" t="s">
        <v>251</v>
      </c>
      <c r="K113" t="s">
        <v>250</v>
      </c>
      <c r="L113">
        <v>1348</v>
      </c>
      <c r="N113">
        <v>1009</v>
      </c>
      <c r="O113" t="s">
        <v>246</v>
      </c>
      <c r="P113" t="s">
        <v>246</v>
      </c>
      <c r="Q113">
        <v>1000</v>
      </c>
      <c r="W113">
        <v>0</v>
      </c>
      <c r="X113">
        <v>1282234864</v>
      </c>
      <c r="Y113">
        <v>1</v>
      </c>
      <c r="AA113">
        <v>38374.8</v>
      </c>
      <c r="AB113">
        <v>0</v>
      </c>
      <c r="AC113">
        <v>0</v>
      </c>
      <c r="AD113">
        <v>0</v>
      </c>
      <c r="AE113">
        <v>6780</v>
      </c>
      <c r="AF113">
        <v>0</v>
      </c>
      <c r="AG113">
        <v>0</v>
      </c>
      <c r="AH113">
        <v>0</v>
      </c>
      <c r="AI113">
        <v>5.66</v>
      </c>
      <c r="AJ113">
        <v>1</v>
      </c>
      <c r="AK113">
        <v>1</v>
      </c>
      <c r="AL113">
        <v>1</v>
      </c>
      <c r="AN113">
        <v>0</v>
      </c>
      <c r="AO113">
        <v>0</v>
      </c>
      <c r="AP113">
        <v>0</v>
      </c>
      <c r="AQ113">
        <v>0</v>
      </c>
      <c r="AR113">
        <v>0</v>
      </c>
      <c r="AT113">
        <v>1</v>
      </c>
      <c r="AV113">
        <v>0</v>
      </c>
      <c r="AW113">
        <v>1</v>
      </c>
      <c r="AX113">
        <v>-1</v>
      </c>
      <c r="AY113">
        <v>0</v>
      </c>
      <c r="AZ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Y113*Source!I166</f>
        <v>0.181</v>
      </c>
      <c r="CY113">
        <f>AA113</f>
        <v>38374.8</v>
      </c>
      <c r="CZ113">
        <f>AE113</f>
        <v>6780</v>
      </c>
      <c r="DA113">
        <f>AI113</f>
        <v>5.66</v>
      </c>
      <c r="DB113">
        <v>0</v>
      </c>
    </row>
    <row r="114" spans="1:106" ht="12.75">
      <c r="A114">
        <f>ROW(Source!A168)</f>
        <v>168</v>
      </c>
      <c r="B114">
        <v>42253831</v>
      </c>
      <c r="C114">
        <v>42255115</v>
      </c>
      <c r="D114">
        <v>37064978</v>
      </c>
      <c r="E114">
        <v>1</v>
      </c>
      <c r="F114">
        <v>1</v>
      </c>
      <c r="G114">
        <v>1</v>
      </c>
      <c r="H114">
        <v>1</v>
      </c>
      <c r="I114" t="s">
        <v>612</v>
      </c>
      <c r="K114" t="s">
        <v>613</v>
      </c>
      <c r="L114">
        <v>1191</v>
      </c>
      <c r="N114">
        <v>1013</v>
      </c>
      <c r="O114" t="s">
        <v>462</v>
      </c>
      <c r="P114" t="s">
        <v>462</v>
      </c>
      <c r="Q114">
        <v>1</v>
      </c>
      <c r="W114">
        <v>0</v>
      </c>
      <c r="X114">
        <v>-719309759</v>
      </c>
      <c r="Y114">
        <v>12.64</v>
      </c>
      <c r="AA114">
        <v>0</v>
      </c>
      <c r="AB114">
        <v>0</v>
      </c>
      <c r="AC114">
        <v>0</v>
      </c>
      <c r="AD114">
        <v>176.85</v>
      </c>
      <c r="AE114">
        <v>0</v>
      </c>
      <c r="AF114">
        <v>0</v>
      </c>
      <c r="AG114">
        <v>0</v>
      </c>
      <c r="AH114">
        <v>8.86</v>
      </c>
      <c r="AI114">
        <v>1</v>
      </c>
      <c r="AJ114">
        <v>1</v>
      </c>
      <c r="AK114">
        <v>1</v>
      </c>
      <c r="AL114">
        <v>19.96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12.64</v>
      </c>
      <c r="AV114">
        <v>1</v>
      </c>
      <c r="AW114">
        <v>2</v>
      </c>
      <c r="AX114">
        <v>42255122</v>
      </c>
      <c r="AY114">
        <v>1</v>
      </c>
      <c r="AZ114">
        <v>0</v>
      </c>
      <c r="BA114">
        <v>116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Y114*Source!I168</f>
        <v>0.3792</v>
      </c>
      <c r="CY114">
        <f>AD114</f>
        <v>176.85</v>
      </c>
      <c r="CZ114">
        <f>AH114</f>
        <v>8.86</v>
      </c>
      <c r="DA114">
        <f>AL114</f>
        <v>19.96</v>
      </c>
      <c r="DB114">
        <v>0</v>
      </c>
    </row>
    <row r="115" spans="1:106" ht="12.75">
      <c r="A115">
        <f>ROW(Source!A168)</f>
        <v>168</v>
      </c>
      <c r="B115">
        <v>42253831</v>
      </c>
      <c r="C115">
        <v>42255115</v>
      </c>
      <c r="D115">
        <v>37064876</v>
      </c>
      <c r="E115">
        <v>1</v>
      </c>
      <c r="F115">
        <v>1</v>
      </c>
      <c r="G115">
        <v>1</v>
      </c>
      <c r="H115">
        <v>1</v>
      </c>
      <c r="I115" t="s">
        <v>465</v>
      </c>
      <c r="K115" t="s">
        <v>466</v>
      </c>
      <c r="L115">
        <v>1191</v>
      </c>
      <c r="N115">
        <v>1013</v>
      </c>
      <c r="O115" t="s">
        <v>462</v>
      </c>
      <c r="P115" t="s">
        <v>462</v>
      </c>
      <c r="Q115">
        <v>1</v>
      </c>
      <c r="W115">
        <v>0</v>
      </c>
      <c r="X115">
        <v>-1417349443</v>
      </c>
      <c r="Y115">
        <v>0.38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19.96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0.38</v>
      </c>
      <c r="AV115">
        <v>2</v>
      </c>
      <c r="AW115">
        <v>2</v>
      </c>
      <c r="AX115">
        <v>42255123</v>
      </c>
      <c r="AY115">
        <v>1</v>
      </c>
      <c r="AZ115">
        <v>0</v>
      </c>
      <c r="BA115">
        <v>117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Y115*Source!I168</f>
        <v>0.0114</v>
      </c>
      <c r="CY115">
        <f>AD115</f>
        <v>0</v>
      </c>
      <c r="CZ115">
        <f>AH115</f>
        <v>0</v>
      </c>
      <c r="DA115">
        <f>AL115</f>
        <v>1</v>
      </c>
      <c r="DB115">
        <v>0</v>
      </c>
    </row>
    <row r="116" spans="1:106" ht="12.75">
      <c r="A116">
        <f>ROW(Source!A168)</f>
        <v>168</v>
      </c>
      <c r="B116">
        <v>42253831</v>
      </c>
      <c r="C116">
        <v>42255115</v>
      </c>
      <c r="D116">
        <v>36882159</v>
      </c>
      <c r="E116">
        <v>1</v>
      </c>
      <c r="F116">
        <v>1</v>
      </c>
      <c r="G116">
        <v>1</v>
      </c>
      <c r="H116">
        <v>2</v>
      </c>
      <c r="I116" t="s">
        <v>495</v>
      </c>
      <c r="J116" t="s">
        <v>496</v>
      </c>
      <c r="K116" t="s">
        <v>497</v>
      </c>
      <c r="L116">
        <v>1368</v>
      </c>
      <c r="N116">
        <v>1011</v>
      </c>
      <c r="O116" t="s">
        <v>470</v>
      </c>
      <c r="P116" t="s">
        <v>470</v>
      </c>
      <c r="Q116">
        <v>1</v>
      </c>
      <c r="W116">
        <v>0</v>
      </c>
      <c r="X116">
        <v>-1718674368</v>
      </c>
      <c r="Y116">
        <v>0.16</v>
      </c>
      <c r="AA116">
        <v>0</v>
      </c>
      <c r="AB116">
        <v>796.25</v>
      </c>
      <c r="AC116">
        <v>269.46</v>
      </c>
      <c r="AD116">
        <v>0</v>
      </c>
      <c r="AE116">
        <v>0</v>
      </c>
      <c r="AF116">
        <v>111.99</v>
      </c>
      <c r="AG116">
        <v>13.5</v>
      </c>
      <c r="AH116">
        <v>0</v>
      </c>
      <c r="AI116">
        <v>1</v>
      </c>
      <c r="AJ116">
        <v>7.11</v>
      </c>
      <c r="AK116">
        <v>19.96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0.16</v>
      </c>
      <c r="AV116">
        <v>0</v>
      </c>
      <c r="AW116">
        <v>2</v>
      </c>
      <c r="AX116">
        <v>42255124</v>
      </c>
      <c r="AY116">
        <v>1</v>
      </c>
      <c r="AZ116">
        <v>0</v>
      </c>
      <c r="BA116">
        <v>118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Y116*Source!I168</f>
        <v>0.0048</v>
      </c>
      <c r="CY116">
        <f>AB116</f>
        <v>796.25</v>
      </c>
      <c r="CZ116">
        <f>AF116</f>
        <v>111.99</v>
      </c>
      <c r="DA116">
        <f>AJ116</f>
        <v>7.11</v>
      </c>
      <c r="DB116">
        <v>0</v>
      </c>
    </row>
    <row r="117" spans="1:106" ht="12.75">
      <c r="A117">
        <f>ROW(Source!A168)</f>
        <v>168</v>
      </c>
      <c r="B117">
        <v>42253831</v>
      </c>
      <c r="C117">
        <v>42255115</v>
      </c>
      <c r="D117">
        <v>36883554</v>
      </c>
      <c r="E117">
        <v>1</v>
      </c>
      <c r="F117">
        <v>1</v>
      </c>
      <c r="G117">
        <v>1</v>
      </c>
      <c r="H117">
        <v>2</v>
      </c>
      <c r="I117" t="s">
        <v>498</v>
      </c>
      <c r="J117" t="s">
        <v>499</v>
      </c>
      <c r="K117" t="s">
        <v>500</v>
      </c>
      <c r="L117">
        <v>1368</v>
      </c>
      <c r="N117">
        <v>1011</v>
      </c>
      <c r="O117" t="s">
        <v>470</v>
      </c>
      <c r="P117" t="s">
        <v>470</v>
      </c>
      <c r="Q117">
        <v>1</v>
      </c>
      <c r="W117">
        <v>0</v>
      </c>
      <c r="X117">
        <v>1372534845</v>
      </c>
      <c r="Y117">
        <v>0.22</v>
      </c>
      <c r="AA117">
        <v>0</v>
      </c>
      <c r="AB117">
        <v>467.2</v>
      </c>
      <c r="AC117">
        <v>231.54</v>
      </c>
      <c r="AD117">
        <v>0</v>
      </c>
      <c r="AE117">
        <v>0</v>
      </c>
      <c r="AF117">
        <v>65.71</v>
      </c>
      <c r="AG117">
        <v>11.6</v>
      </c>
      <c r="AH117">
        <v>0</v>
      </c>
      <c r="AI117">
        <v>1</v>
      </c>
      <c r="AJ117">
        <v>7.11</v>
      </c>
      <c r="AK117">
        <v>19.96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0.22</v>
      </c>
      <c r="AV117">
        <v>0</v>
      </c>
      <c r="AW117">
        <v>2</v>
      </c>
      <c r="AX117">
        <v>42255125</v>
      </c>
      <c r="AY117">
        <v>1</v>
      </c>
      <c r="AZ117">
        <v>0</v>
      </c>
      <c r="BA117">
        <v>119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Y117*Source!I168</f>
        <v>0.0066</v>
      </c>
      <c r="CY117">
        <f>AB117</f>
        <v>467.2</v>
      </c>
      <c r="CZ117">
        <f>AF117</f>
        <v>65.71</v>
      </c>
      <c r="DA117">
        <f>AJ117</f>
        <v>7.11</v>
      </c>
      <c r="DB117">
        <v>0</v>
      </c>
    </row>
    <row r="118" spans="1:106" ht="12.75">
      <c r="A118">
        <f>ROW(Source!A168)</f>
        <v>168</v>
      </c>
      <c r="B118">
        <v>42253831</v>
      </c>
      <c r="C118">
        <v>42255115</v>
      </c>
      <c r="D118">
        <v>36825608</v>
      </c>
      <c r="E118">
        <v>1</v>
      </c>
      <c r="F118">
        <v>1</v>
      </c>
      <c r="G118">
        <v>1</v>
      </c>
      <c r="H118">
        <v>3</v>
      </c>
      <c r="I118" t="s">
        <v>572</v>
      </c>
      <c r="J118" t="s">
        <v>573</v>
      </c>
      <c r="K118" t="s">
        <v>574</v>
      </c>
      <c r="L118">
        <v>1348</v>
      </c>
      <c r="N118">
        <v>1009</v>
      </c>
      <c r="O118" t="s">
        <v>246</v>
      </c>
      <c r="P118" t="s">
        <v>246</v>
      </c>
      <c r="Q118">
        <v>1000</v>
      </c>
      <c r="W118">
        <v>0</v>
      </c>
      <c r="X118">
        <v>-480376383</v>
      </c>
      <c r="Y118">
        <v>0.028</v>
      </c>
      <c r="AA118">
        <v>57732</v>
      </c>
      <c r="AB118">
        <v>0</v>
      </c>
      <c r="AC118">
        <v>0</v>
      </c>
      <c r="AD118">
        <v>0</v>
      </c>
      <c r="AE118">
        <v>10200</v>
      </c>
      <c r="AF118">
        <v>0</v>
      </c>
      <c r="AG118">
        <v>0</v>
      </c>
      <c r="AH118">
        <v>0</v>
      </c>
      <c r="AI118">
        <v>5.66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0.028</v>
      </c>
      <c r="AV118">
        <v>0</v>
      </c>
      <c r="AW118">
        <v>2</v>
      </c>
      <c r="AX118">
        <v>42255126</v>
      </c>
      <c r="AY118">
        <v>1</v>
      </c>
      <c r="AZ118">
        <v>0</v>
      </c>
      <c r="BA118">
        <v>120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Y118*Source!I168</f>
        <v>0.00084</v>
      </c>
      <c r="CY118">
        <f>AA118</f>
        <v>57732</v>
      </c>
      <c r="CZ118">
        <f>AE118</f>
        <v>10200</v>
      </c>
      <c r="DA118">
        <f>AI118</f>
        <v>5.66</v>
      </c>
      <c r="DB118">
        <v>0</v>
      </c>
    </row>
    <row r="119" spans="1:106" ht="12.75">
      <c r="A119">
        <f>ROW(Source!A168)</f>
        <v>168</v>
      </c>
      <c r="B119">
        <v>42253831</v>
      </c>
      <c r="C119">
        <v>42255115</v>
      </c>
      <c r="D119">
        <v>36826587</v>
      </c>
      <c r="E119">
        <v>1</v>
      </c>
      <c r="F119">
        <v>1</v>
      </c>
      <c r="G119">
        <v>1</v>
      </c>
      <c r="H119">
        <v>3</v>
      </c>
      <c r="I119" t="s">
        <v>257</v>
      </c>
      <c r="J119" t="s">
        <v>259</v>
      </c>
      <c r="K119" t="s">
        <v>258</v>
      </c>
      <c r="L119">
        <v>1348</v>
      </c>
      <c r="N119">
        <v>1009</v>
      </c>
      <c r="O119" t="s">
        <v>246</v>
      </c>
      <c r="P119" t="s">
        <v>246</v>
      </c>
      <c r="Q119">
        <v>1000</v>
      </c>
      <c r="W119">
        <v>0</v>
      </c>
      <c r="X119">
        <v>1969538235</v>
      </c>
      <c r="Y119">
        <v>1</v>
      </c>
      <c r="AA119">
        <v>36839.53</v>
      </c>
      <c r="AB119">
        <v>0</v>
      </c>
      <c r="AC119">
        <v>0</v>
      </c>
      <c r="AD119">
        <v>0</v>
      </c>
      <c r="AE119">
        <v>6508.75</v>
      </c>
      <c r="AF119">
        <v>0</v>
      </c>
      <c r="AG119">
        <v>0</v>
      </c>
      <c r="AH119">
        <v>0</v>
      </c>
      <c r="AI119">
        <v>5.66</v>
      </c>
      <c r="AJ119">
        <v>1</v>
      </c>
      <c r="AK119">
        <v>1</v>
      </c>
      <c r="AL119">
        <v>1</v>
      </c>
      <c r="AN119">
        <v>0</v>
      </c>
      <c r="AO119">
        <v>0</v>
      </c>
      <c r="AP119">
        <v>0</v>
      </c>
      <c r="AQ119">
        <v>0</v>
      </c>
      <c r="AR119">
        <v>0</v>
      </c>
      <c r="AT119">
        <v>1</v>
      </c>
      <c r="AV119">
        <v>0</v>
      </c>
      <c r="AW119">
        <v>1</v>
      </c>
      <c r="AX119">
        <v>-1</v>
      </c>
      <c r="AY119">
        <v>0</v>
      </c>
      <c r="AZ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Y119*Source!I168</f>
        <v>0.03</v>
      </c>
      <c r="CY119">
        <f>AA119</f>
        <v>36839.53</v>
      </c>
      <c r="CZ119">
        <f>AE119</f>
        <v>6508.75</v>
      </c>
      <c r="DA119">
        <f>AI119</f>
        <v>5.66</v>
      </c>
      <c r="DB119">
        <v>0</v>
      </c>
    </row>
    <row r="120" spans="1:106" ht="12.75">
      <c r="A120">
        <f>ROW(Source!A170)</f>
        <v>170</v>
      </c>
      <c r="B120">
        <v>42253831</v>
      </c>
      <c r="C120">
        <v>42255129</v>
      </c>
      <c r="D120">
        <v>37072887</v>
      </c>
      <c r="E120">
        <v>1</v>
      </c>
      <c r="F120">
        <v>1</v>
      </c>
      <c r="G120">
        <v>1</v>
      </c>
      <c r="H120">
        <v>1</v>
      </c>
      <c r="I120" t="s">
        <v>614</v>
      </c>
      <c r="K120" t="s">
        <v>615</v>
      </c>
      <c r="L120">
        <v>1191</v>
      </c>
      <c r="N120">
        <v>1013</v>
      </c>
      <c r="O120" t="s">
        <v>462</v>
      </c>
      <c r="P120" t="s">
        <v>462</v>
      </c>
      <c r="Q120">
        <v>1</v>
      </c>
      <c r="W120">
        <v>0</v>
      </c>
      <c r="X120">
        <v>1799141607</v>
      </c>
      <c r="Y120">
        <v>153.18</v>
      </c>
      <c r="AA120">
        <v>0</v>
      </c>
      <c r="AB120">
        <v>0</v>
      </c>
      <c r="AC120">
        <v>0</v>
      </c>
      <c r="AD120">
        <v>203.79</v>
      </c>
      <c r="AE120">
        <v>0</v>
      </c>
      <c r="AF120">
        <v>0</v>
      </c>
      <c r="AG120">
        <v>0</v>
      </c>
      <c r="AH120">
        <v>10.21</v>
      </c>
      <c r="AI120">
        <v>1</v>
      </c>
      <c r="AJ120">
        <v>1</v>
      </c>
      <c r="AK120">
        <v>1</v>
      </c>
      <c r="AL120">
        <v>19.96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153.18</v>
      </c>
      <c r="AV120">
        <v>1</v>
      </c>
      <c r="AW120">
        <v>2</v>
      </c>
      <c r="AX120">
        <v>42255145</v>
      </c>
      <c r="AY120">
        <v>1</v>
      </c>
      <c r="AZ120">
        <v>0</v>
      </c>
      <c r="BA120">
        <v>122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Y120*Source!I170</f>
        <v>76.59</v>
      </c>
      <c r="CY120">
        <f>AD120</f>
        <v>203.79</v>
      </c>
      <c r="CZ120">
        <f>AH120</f>
        <v>10.21</v>
      </c>
      <c r="DA120">
        <f>AL120</f>
        <v>19.96</v>
      </c>
      <c r="DB120">
        <v>0</v>
      </c>
    </row>
    <row r="121" spans="1:106" ht="12.75">
      <c r="A121">
        <f>ROW(Source!A170)</f>
        <v>170</v>
      </c>
      <c r="B121">
        <v>42253831</v>
      </c>
      <c r="C121">
        <v>42255129</v>
      </c>
      <c r="D121">
        <v>37064876</v>
      </c>
      <c r="E121">
        <v>1</v>
      </c>
      <c r="F121">
        <v>1</v>
      </c>
      <c r="G121">
        <v>1</v>
      </c>
      <c r="H121">
        <v>1</v>
      </c>
      <c r="I121" t="s">
        <v>465</v>
      </c>
      <c r="K121" t="s">
        <v>466</v>
      </c>
      <c r="L121">
        <v>1191</v>
      </c>
      <c r="N121">
        <v>1013</v>
      </c>
      <c r="O121" t="s">
        <v>462</v>
      </c>
      <c r="P121" t="s">
        <v>462</v>
      </c>
      <c r="Q121">
        <v>1</v>
      </c>
      <c r="W121">
        <v>0</v>
      </c>
      <c r="X121">
        <v>-1417349443</v>
      </c>
      <c r="Y121">
        <v>5.16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19.96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5.16</v>
      </c>
      <c r="AV121">
        <v>2</v>
      </c>
      <c r="AW121">
        <v>2</v>
      </c>
      <c r="AX121">
        <v>42255146</v>
      </c>
      <c r="AY121">
        <v>1</v>
      </c>
      <c r="AZ121">
        <v>0</v>
      </c>
      <c r="BA121">
        <v>123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Y121*Source!I170</f>
        <v>2.58</v>
      </c>
      <c r="CY121">
        <f>AD121</f>
        <v>0</v>
      </c>
      <c r="CZ121">
        <f>AH121</f>
        <v>0</v>
      </c>
      <c r="DA121">
        <f>AL121</f>
        <v>1</v>
      </c>
      <c r="DB121">
        <v>0</v>
      </c>
    </row>
    <row r="122" spans="1:106" ht="12.75">
      <c r="A122">
        <f>ROW(Source!A170)</f>
        <v>170</v>
      </c>
      <c r="B122">
        <v>42253831</v>
      </c>
      <c r="C122">
        <v>42255129</v>
      </c>
      <c r="D122">
        <v>36882452</v>
      </c>
      <c r="E122">
        <v>1</v>
      </c>
      <c r="F122">
        <v>1</v>
      </c>
      <c r="G122">
        <v>1</v>
      </c>
      <c r="H122">
        <v>2</v>
      </c>
      <c r="I122" t="s">
        <v>616</v>
      </c>
      <c r="J122" t="s">
        <v>617</v>
      </c>
      <c r="K122" t="s">
        <v>618</v>
      </c>
      <c r="L122">
        <v>1368</v>
      </c>
      <c r="N122">
        <v>1011</v>
      </c>
      <c r="O122" t="s">
        <v>470</v>
      </c>
      <c r="P122" t="s">
        <v>470</v>
      </c>
      <c r="Q122">
        <v>1</v>
      </c>
      <c r="W122">
        <v>0</v>
      </c>
      <c r="X122">
        <v>1188625873</v>
      </c>
      <c r="Y122">
        <v>0.11</v>
      </c>
      <c r="AA122">
        <v>0</v>
      </c>
      <c r="AB122">
        <v>222.26</v>
      </c>
      <c r="AC122">
        <v>269.46</v>
      </c>
      <c r="AD122">
        <v>0</v>
      </c>
      <c r="AE122">
        <v>0</v>
      </c>
      <c r="AF122">
        <v>31.26</v>
      </c>
      <c r="AG122">
        <v>13.5</v>
      </c>
      <c r="AH122">
        <v>0</v>
      </c>
      <c r="AI122">
        <v>1</v>
      </c>
      <c r="AJ122">
        <v>7.11</v>
      </c>
      <c r="AK122">
        <v>19.96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0.11</v>
      </c>
      <c r="AV122">
        <v>0</v>
      </c>
      <c r="AW122">
        <v>2</v>
      </c>
      <c r="AX122">
        <v>42255147</v>
      </c>
      <c r="AY122">
        <v>1</v>
      </c>
      <c r="AZ122">
        <v>0</v>
      </c>
      <c r="BA122">
        <v>124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Y122*Source!I170</f>
        <v>0.055</v>
      </c>
      <c r="CY122">
        <f>AB122</f>
        <v>222.26</v>
      </c>
      <c r="CZ122">
        <f>AF122</f>
        <v>31.26</v>
      </c>
      <c r="DA122">
        <f>AJ122</f>
        <v>7.11</v>
      </c>
      <c r="DB122">
        <v>0</v>
      </c>
    </row>
    <row r="123" spans="1:106" ht="12.75">
      <c r="A123">
        <f>ROW(Source!A170)</f>
        <v>170</v>
      </c>
      <c r="B123">
        <v>42253831</v>
      </c>
      <c r="C123">
        <v>42255129</v>
      </c>
      <c r="D123">
        <v>36883554</v>
      </c>
      <c r="E123">
        <v>1</v>
      </c>
      <c r="F123">
        <v>1</v>
      </c>
      <c r="G123">
        <v>1</v>
      </c>
      <c r="H123">
        <v>2</v>
      </c>
      <c r="I123" t="s">
        <v>498</v>
      </c>
      <c r="J123" t="s">
        <v>499</v>
      </c>
      <c r="K123" t="s">
        <v>500</v>
      </c>
      <c r="L123">
        <v>1368</v>
      </c>
      <c r="N123">
        <v>1011</v>
      </c>
      <c r="O123" t="s">
        <v>470</v>
      </c>
      <c r="P123" t="s">
        <v>470</v>
      </c>
      <c r="Q123">
        <v>1</v>
      </c>
      <c r="W123">
        <v>0</v>
      </c>
      <c r="X123">
        <v>1372534845</v>
      </c>
      <c r="Y123">
        <v>0.25</v>
      </c>
      <c r="AA123">
        <v>0</v>
      </c>
      <c r="AB123">
        <v>467.2</v>
      </c>
      <c r="AC123">
        <v>231.54</v>
      </c>
      <c r="AD123">
        <v>0</v>
      </c>
      <c r="AE123">
        <v>0</v>
      </c>
      <c r="AF123">
        <v>65.71</v>
      </c>
      <c r="AG123">
        <v>11.6</v>
      </c>
      <c r="AH123">
        <v>0</v>
      </c>
      <c r="AI123">
        <v>1</v>
      </c>
      <c r="AJ123">
        <v>7.11</v>
      </c>
      <c r="AK123">
        <v>19.96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0.25</v>
      </c>
      <c r="AV123">
        <v>0</v>
      </c>
      <c r="AW123">
        <v>2</v>
      </c>
      <c r="AX123">
        <v>42255148</v>
      </c>
      <c r="AY123">
        <v>1</v>
      </c>
      <c r="AZ123">
        <v>0</v>
      </c>
      <c r="BA123">
        <v>125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Y123*Source!I170</f>
        <v>0.125</v>
      </c>
      <c r="CY123">
        <f>AB123</f>
        <v>467.2</v>
      </c>
      <c r="CZ123">
        <f>AF123</f>
        <v>65.71</v>
      </c>
      <c r="DA123">
        <f>AJ123</f>
        <v>7.11</v>
      </c>
      <c r="DB123">
        <v>0</v>
      </c>
    </row>
    <row r="124" spans="1:106" ht="12.75">
      <c r="A124">
        <f>ROW(Source!A170)</f>
        <v>170</v>
      </c>
      <c r="B124">
        <v>42253831</v>
      </c>
      <c r="C124">
        <v>42255129</v>
      </c>
      <c r="D124">
        <v>36884709</v>
      </c>
      <c r="E124">
        <v>1</v>
      </c>
      <c r="F124">
        <v>1</v>
      </c>
      <c r="G124">
        <v>1</v>
      </c>
      <c r="H124">
        <v>2</v>
      </c>
      <c r="I124" t="s">
        <v>619</v>
      </c>
      <c r="J124" t="s">
        <v>620</v>
      </c>
      <c r="K124" t="s">
        <v>621</v>
      </c>
      <c r="L124">
        <v>1368</v>
      </c>
      <c r="N124">
        <v>1011</v>
      </c>
      <c r="O124" t="s">
        <v>470</v>
      </c>
      <c r="P124" t="s">
        <v>470</v>
      </c>
      <c r="Q124">
        <v>1</v>
      </c>
      <c r="W124">
        <v>0</v>
      </c>
      <c r="X124">
        <v>-53362720</v>
      </c>
      <c r="Y124">
        <v>2.5</v>
      </c>
      <c r="AA124">
        <v>0</v>
      </c>
      <c r="AB124">
        <v>19.2</v>
      </c>
      <c r="AC124">
        <v>0</v>
      </c>
      <c r="AD124">
        <v>0</v>
      </c>
      <c r="AE124">
        <v>0</v>
      </c>
      <c r="AF124">
        <v>2.7</v>
      </c>
      <c r="AG124">
        <v>0</v>
      </c>
      <c r="AH124">
        <v>0</v>
      </c>
      <c r="AI124">
        <v>1</v>
      </c>
      <c r="AJ124">
        <v>7.11</v>
      </c>
      <c r="AK124">
        <v>19.96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2.5</v>
      </c>
      <c r="AV124">
        <v>0</v>
      </c>
      <c r="AW124">
        <v>2</v>
      </c>
      <c r="AX124">
        <v>42255149</v>
      </c>
      <c r="AY124">
        <v>1</v>
      </c>
      <c r="AZ124">
        <v>0</v>
      </c>
      <c r="BA124">
        <v>126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Y124*Source!I170</f>
        <v>1.25</v>
      </c>
      <c r="CY124">
        <f>AB124</f>
        <v>19.2</v>
      </c>
      <c r="CZ124">
        <f>AF124</f>
        <v>2.7</v>
      </c>
      <c r="DA124">
        <f>AJ124</f>
        <v>7.11</v>
      </c>
      <c r="DB124">
        <v>0</v>
      </c>
    </row>
    <row r="125" spans="1:106" ht="12.75">
      <c r="A125">
        <f>ROW(Source!A170)</f>
        <v>170</v>
      </c>
      <c r="B125">
        <v>42253831</v>
      </c>
      <c r="C125">
        <v>42255129</v>
      </c>
      <c r="D125">
        <v>36884731</v>
      </c>
      <c r="E125">
        <v>1</v>
      </c>
      <c r="F125">
        <v>1</v>
      </c>
      <c r="G125">
        <v>1</v>
      </c>
      <c r="H125">
        <v>2</v>
      </c>
      <c r="I125" t="s">
        <v>622</v>
      </c>
      <c r="J125" t="s">
        <v>623</v>
      </c>
      <c r="K125" t="s">
        <v>624</v>
      </c>
      <c r="L125">
        <v>1368</v>
      </c>
      <c r="N125">
        <v>1011</v>
      </c>
      <c r="O125" t="s">
        <v>470</v>
      </c>
      <c r="P125" t="s">
        <v>470</v>
      </c>
      <c r="Q125">
        <v>1</v>
      </c>
      <c r="W125">
        <v>0</v>
      </c>
      <c r="X125">
        <v>-21739992</v>
      </c>
      <c r="Y125">
        <v>4.8</v>
      </c>
      <c r="AA125">
        <v>0</v>
      </c>
      <c r="AB125">
        <v>77.93</v>
      </c>
      <c r="AC125">
        <v>200.8</v>
      </c>
      <c r="AD125">
        <v>0</v>
      </c>
      <c r="AE125">
        <v>0</v>
      </c>
      <c r="AF125">
        <v>10.96</v>
      </c>
      <c r="AG125">
        <v>10.06</v>
      </c>
      <c r="AH125">
        <v>0</v>
      </c>
      <c r="AI125">
        <v>1</v>
      </c>
      <c r="AJ125">
        <v>7.11</v>
      </c>
      <c r="AK125">
        <v>19.96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4.8</v>
      </c>
      <c r="AV125">
        <v>0</v>
      </c>
      <c r="AW125">
        <v>2</v>
      </c>
      <c r="AX125">
        <v>42255150</v>
      </c>
      <c r="AY125">
        <v>1</v>
      </c>
      <c r="AZ125">
        <v>0</v>
      </c>
      <c r="BA125">
        <v>127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Y125*Source!I170</f>
        <v>2.4</v>
      </c>
      <c r="CY125">
        <f>AB125</f>
        <v>77.93</v>
      </c>
      <c r="CZ125">
        <f>AF125</f>
        <v>10.96</v>
      </c>
      <c r="DA125">
        <f>AJ125</f>
        <v>7.11</v>
      </c>
      <c r="DB125">
        <v>0</v>
      </c>
    </row>
    <row r="126" spans="1:106" ht="12.75">
      <c r="A126">
        <f>ROW(Source!A170)</f>
        <v>170</v>
      </c>
      <c r="B126">
        <v>42253831</v>
      </c>
      <c r="C126">
        <v>42255129</v>
      </c>
      <c r="D126">
        <v>36799925</v>
      </c>
      <c r="E126">
        <v>1</v>
      </c>
      <c r="F126">
        <v>1</v>
      </c>
      <c r="G126">
        <v>1</v>
      </c>
      <c r="H126">
        <v>3</v>
      </c>
      <c r="I126" t="s">
        <v>625</v>
      </c>
      <c r="J126" t="s">
        <v>626</v>
      </c>
      <c r="K126" t="s">
        <v>627</v>
      </c>
      <c r="L126">
        <v>1348</v>
      </c>
      <c r="N126">
        <v>1009</v>
      </c>
      <c r="O126" t="s">
        <v>246</v>
      </c>
      <c r="P126" t="s">
        <v>246</v>
      </c>
      <c r="Q126">
        <v>1000</v>
      </c>
      <c r="W126">
        <v>0</v>
      </c>
      <c r="X126">
        <v>1708299668</v>
      </c>
      <c r="Y126">
        <v>0.116</v>
      </c>
      <c r="AA126">
        <v>11291.7</v>
      </c>
      <c r="AB126">
        <v>0</v>
      </c>
      <c r="AC126">
        <v>0</v>
      </c>
      <c r="AD126">
        <v>0</v>
      </c>
      <c r="AE126">
        <v>1995</v>
      </c>
      <c r="AF126">
        <v>0</v>
      </c>
      <c r="AG126">
        <v>0</v>
      </c>
      <c r="AH126">
        <v>0</v>
      </c>
      <c r="AI126">
        <v>5.66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0.116</v>
      </c>
      <c r="AV126">
        <v>0</v>
      </c>
      <c r="AW126">
        <v>2</v>
      </c>
      <c r="AX126">
        <v>42255151</v>
      </c>
      <c r="AY126">
        <v>1</v>
      </c>
      <c r="AZ126">
        <v>0</v>
      </c>
      <c r="BA126">
        <v>128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Y126*Source!I170</f>
        <v>0.058</v>
      </c>
      <c r="CY126">
        <f aca="true" t="shared" si="3" ref="CY126:CY134">AA126</f>
        <v>11291.7</v>
      </c>
      <c r="CZ126">
        <f aca="true" t="shared" si="4" ref="CZ126:CZ134">AE126</f>
        <v>1995</v>
      </c>
      <c r="DA126">
        <f aca="true" t="shared" si="5" ref="DA126:DA134">AI126</f>
        <v>5.66</v>
      </c>
      <c r="DB126">
        <v>0</v>
      </c>
    </row>
    <row r="127" spans="1:106" ht="12.75">
      <c r="A127">
        <f>ROW(Source!A170)</f>
        <v>170</v>
      </c>
      <c r="B127">
        <v>42253831</v>
      </c>
      <c r="C127">
        <v>42255129</v>
      </c>
      <c r="D127">
        <v>36800030</v>
      </c>
      <c r="E127">
        <v>1</v>
      </c>
      <c r="F127">
        <v>1</v>
      </c>
      <c r="G127">
        <v>1</v>
      </c>
      <c r="H127">
        <v>3</v>
      </c>
      <c r="I127" t="s">
        <v>628</v>
      </c>
      <c r="J127" t="s">
        <v>629</v>
      </c>
      <c r="K127" t="s">
        <v>630</v>
      </c>
      <c r="L127">
        <v>1348</v>
      </c>
      <c r="N127">
        <v>1009</v>
      </c>
      <c r="O127" t="s">
        <v>246</v>
      </c>
      <c r="P127" t="s">
        <v>246</v>
      </c>
      <c r="Q127">
        <v>1000</v>
      </c>
      <c r="W127">
        <v>0</v>
      </c>
      <c r="X127">
        <v>-168273048</v>
      </c>
      <c r="Y127">
        <v>0.047</v>
      </c>
      <c r="AA127">
        <v>25404.34</v>
      </c>
      <c r="AB127">
        <v>0</v>
      </c>
      <c r="AC127">
        <v>0</v>
      </c>
      <c r="AD127">
        <v>0</v>
      </c>
      <c r="AE127">
        <v>4488.4</v>
      </c>
      <c r="AF127">
        <v>0</v>
      </c>
      <c r="AG127">
        <v>0</v>
      </c>
      <c r="AH127">
        <v>0</v>
      </c>
      <c r="AI127">
        <v>5.66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0.047</v>
      </c>
      <c r="AV127">
        <v>0</v>
      </c>
      <c r="AW127">
        <v>2</v>
      </c>
      <c r="AX127">
        <v>42255152</v>
      </c>
      <c r="AY127">
        <v>1</v>
      </c>
      <c r="AZ127">
        <v>0</v>
      </c>
      <c r="BA127">
        <v>129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Y127*Source!I170</f>
        <v>0.0235</v>
      </c>
      <c r="CY127">
        <f t="shared" si="3"/>
        <v>25404.34</v>
      </c>
      <c r="CZ127">
        <f t="shared" si="4"/>
        <v>4488.4</v>
      </c>
      <c r="DA127">
        <f t="shared" si="5"/>
        <v>5.66</v>
      </c>
      <c r="DB127">
        <v>0</v>
      </c>
    </row>
    <row r="128" spans="1:106" ht="12.75">
      <c r="A128">
        <f>ROW(Source!A170)</f>
        <v>170</v>
      </c>
      <c r="B128">
        <v>42253831</v>
      </c>
      <c r="C128">
        <v>42255129</v>
      </c>
      <c r="D128">
        <v>36802301</v>
      </c>
      <c r="E128">
        <v>1</v>
      </c>
      <c r="F128">
        <v>1</v>
      </c>
      <c r="G128">
        <v>1</v>
      </c>
      <c r="H128">
        <v>3</v>
      </c>
      <c r="I128" t="s">
        <v>631</v>
      </c>
      <c r="J128" t="s">
        <v>632</v>
      </c>
      <c r="K128" t="s">
        <v>633</v>
      </c>
      <c r="L128">
        <v>1348</v>
      </c>
      <c r="N128">
        <v>1009</v>
      </c>
      <c r="O128" t="s">
        <v>246</v>
      </c>
      <c r="P128" t="s">
        <v>246</v>
      </c>
      <c r="Q128">
        <v>1000</v>
      </c>
      <c r="W128">
        <v>0</v>
      </c>
      <c r="X128">
        <v>-491953058</v>
      </c>
      <c r="Y128">
        <v>0.022</v>
      </c>
      <c r="AA128">
        <v>133010</v>
      </c>
      <c r="AB128">
        <v>0</v>
      </c>
      <c r="AC128">
        <v>0</v>
      </c>
      <c r="AD128">
        <v>0</v>
      </c>
      <c r="AE128">
        <v>23500</v>
      </c>
      <c r="AF128">
        <v>0</v>
      </c>
      <c r="AG128">
        <v>0</v>
      </c>
      <c r="AH128">
        <v>0</v>
      </c>
      <c r="AI128">
        <v>5.66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0.022</v>
      </c>
      <c r="AV128">
        <v>0</v>
      </c>
      <c r="AW128">
        <v>2</v>
      </c>
      <c r="AX128">
        <v>42255153</v>
      </c>
      <c r="AY128">
        <v>1</v>
      </c>
      <c r="AZ128">
        <v>0</v>
      </c>
      <c r="BA128">
        <v>130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Y128*Source!I170</f>
        <v>0.011</v>
      </c>
      <c r="CY128">
        <f t="shared" si="3"/>
        <v>133010</v>
      </c>
      <c r="CZ128">
        <f t="shared" si="4"/>
        <v>23500</v>
      </c>
      <c r="DA128">
        <f t="shared" si="5"/>
        <v>5.66</v>
      </c>
      <c r="DB128">
        <v>0</v>
      </c>
    </row>
    <row r="129" spans="1:106" ht="12.75">
      <c r="A129">
        <f>ROW(Source!A170)</f>
        <v>170</v>
      </c>
      <c r="B129">
        <v>42253831</v>
      </c>
      <c r="C129">
        <v>42255129</v>
      </c>
      <c r="D129">
        <v>36805524</v>
      </c>
      <c r="E129">
        <v>1</v>
      </c>
      <c r="F129">
        <v>1</v>
      </c>
      <c r="G129">
        <v>1</v>
      </c>
      <c r="H129">
        <v>3</v>
      </c>
      <c r="I129" t="s">
        <v>634</v>
      </c>
      <c r="J129" t="s">
        <v>635</v>
      </c>
      <c r="K129" t="s">
        <v>636</v>
      </c>
      <c r="L129">
        <v>1346</v>
      </c>
      <c r="N129">
        <v>1009</v>
      </c>
      <c r="O129" t="s">
        <v>386</v>
      </c>
      <c r="P129" t="s">
        <v>386</v>
      </c>
      <c r="Q129">
        <v>1</v>
      </c>
      <c r="W129">
        <v>0</v>
      </c>
      <c r="X129">
        <v>813963326</v>
      </c>
      <c r="Y129">
        <v>1</v>
      </c>
      <c r="AA129">
        <v>10.3</v>
      </c>
      <c r="AB129">
        <v>0</v>
      </c>
      <c r="AC129">
        <v>0</v>
      </c>
      <c r="AD129">
        <v>0</v>
      </c>
      <c r="AE129">
        <v>1.82</v>
      </c>
      <c r="AF129">
        <v>0</v>
      </c>
      <c r="AG129">
        <v>0</v>
      </c>
      <c r="AH129">
        <v>0</v>
      </c>
      <c r="AI129">
        <v>5.66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1</v>
      </c>
      <c r="AV129">
        <v>0</v>
      </c>
      <c r="AW129">
        <v>2</v>
      </c>
      <c r="AX129">
        <v>42255154</v>
      </c>
      <c r="AY129">
        <v>1</v>
      </c>
      <c r="AZ129">
        <v>0</v>
      </c>
      <c r="BA129">
        <v>131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Y129*Source!I170</f>
        <v>0.5</v>
      </c>
      <c r="CY129">
        <f t="shared" si="3"/>
        <v>10.3</v>
      </c>
      <c r="CZ129">
        <f t="shared" si="4"/>
        <v>1.82</v>
      </c>
      <c r="DA129">
        <f t="shared" si="5"/>
        <v>5.66</v>
      </c>
      <c r="DB129">
        <v>0</v>
      </c>
    </row>
    <row r="130" spans="1:106" ht="12.75">
      <c r="A130">
        <f>ROW(Source!A170)</f>
        <v>170</v>
      </c>
      <c r="B130">
        <v>42253831</v>
      </c>
      <c r="C130">
        <v>42255129</v>
      </c>
      <c r="D130">
        <v>36807342</v>
      </c>
      <c r="E130">
        <v>1</v>
      </c>
      <c r="F130">
        <v>1</v>
      </c>
      <c r="G130">
        <v>1</v>
      </c>
      <c r="H130">
        <v>3</v>
      </c>
      <c r="I130" t="s">
        <v>558</v>
      </c>
      <c r="J130" t="s">
        <v>559</v>
      </c>
      <c r="K130" t="s">
        <v>560</v>
      </c>
      <c r="L130">
        <v>1339</v>
      </c>
      <c r="N130">
        <v>1007</v>
      </c>
      <c r="O130" t="s">
        <v>140</v>
      </c>
      <c r="P130" t="s">
        <v>140</v>
      </c>
      <c r="Q130">
        <v>1</v>
      </c>
      <c r="W130">
        <v>0</v>
      </c>
      <c r="X130">
        <v>519185539</v>
      </c>
      <c r="Y130">
        <v>0.31</v>
      </c>
      <c r="AA130">
        <v>2942.07</v>
      </c>
      <c r="AB130">
        <v>0</v>
      </c>
      <c r="AC130">
        <v>0</v>
      </c>
      <c r="AD130">
        <v>0</v>
      </c>
      <c r="AE130">
        <v>519.8</v>
      </c>
      <c r="AF130">
        <v>0</v>
      </c>
      <c r="AG130">
        <v>0</v>
      </c>
      <c r="AH130">
        <v>0</v>
      </c>
      <c r="AI130">
        <v>5.66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0.31</v>
      </c>
      <c r="AV130">
        <v>0</v>
      </c>
      <c r="AW130">
        <v>2</v>
      </c>
      <c r="AX130">
        <v>42255155</v>
      </c>
      <c r="AY130">
        <v>1</v>
      </c>
      <c r="AZ130">
        <v>0</v>
      </c>
      <c r="BA130">
        <v>132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Y130*Source!I170</f>
        <v>0.155</v>
      </c>
      <c r="CY130">
        <f t="shared" si="3"/>
        <v>2942.07</v>
      </c>
      <c r="CZ130">
        <f t="shared" si="4"/>
        <v>519.8</v>
      </c>
      <c r="DA130">
        <f t="shared" si="5"/>
        <v>5.66</v>
      </c>
      <c r="DB130">
        <v>0</v>
      </c>
    </row>
    <row r="131" spans="1:106" ht="12.75">
      <c r="A131">
        <f>ROW(Source!A170)</f>
        <v>170</v>
      </c>
      <c r="B131">
        <v>42253831</v>
      </c>
      <c r="C131">
        <v>42255129</v>
      </c>
      <c r="D131">
        <v>36832713</v>
      </c>
      <c r="E131">
        <v>1</v>
      </c>
      <c r="F131">
        <v>1</v>
      </c>
      <c r="G131">
        <v>1</v>
      </c>
      <c r="H131">
        <v>3</v>
      </c>
      <c r="I131" t="s">
        <v>637</v>
      </c>
      <c r="J131" t="s">
        <v>638</v>
      </c>
      <c r="K131" t="s">
        <v>639</v>
      </c>
      <c r="L131">
        <v>1327</v>
      </c>
      <c r="N131">
        <v>1005</v>
      </c>
      <c r="O131" t="s">
        <v>552</v>
      </c>
      <c r="P131" t="s">
        <v>552</v>
      </c>
      <c r="Q131">
        <v>1</v>
      </c>
      <c r="W131">
        <v>0</v>
      </c>
      <c r="X131">
        <v>-178852074</v>
      </c>
      <c r="Y131">
        <v>112</v>
      </c>
      <c r="AA131">
        <v>36.68</v>
      </c>
      <c r="AB131">
        <v>0</v>
      </c>
      <c r="AC131">
        <v>0</v>
      </c>
      <c r="AD131">
        <v>0</v>
      </c>
      <c r="AE131">
        <v>6.48</v>
      </c>
      <c r="AF131">
        <v>0</v>
      </c>
      <c r="AG131">
        <v>0</v>
      </c>
      <c r="AH131">
        <v>0</v>
      </c>
      <c r="AI131">
        <v>5.66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T131">
        <v>112</v>
      </c>
      <c r="AV131">
        <v>0</v>
      </c>
      <c r="AW131">
        <v>2</v>
      </c>
      <c r="AX131">
        <v>42255156</v>
      </c>
      <c r="AY131">
        <v>1</v>
      </c>
      <c r="AZ131">
        <v>0</v>
      </c>
      <c r="BA131">
        <v>133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Y131*Source!I170</f>
        <v>56</v>
      </c>
      <c r="CY131">
        <f t="shared" si="3"/>
        <v>36.68</v>
      </c>
      <c r="CZ131">
        <f t="shared" si="4"/>
        <v>6.48</v>
      </c>
      <c r="DA131">
        <f t="shared" si="5"/>
        <v>5.66</v>
      </c>
      <c r="DB131">
        <v>0</v>
      </c>
    </row>
    <row r="132" spans="1:106" ht="12.75">
      <c r="A132">
        <f>ROW(Source!A170)</f>
        <v>170</v>
      </c>
      <c r="B132">
        <v>42253831</v>
      </c>
      <c r="C132">
        <v>42255129</v>
      </c>
      <c r="D132">
        <v>36837603</v>
      </c>
      <c r="E132">
        <v>1</v>
      </c>
      <c r="F132">
        <v>1</v>
      </c>
      <c r="G132">
        <v>1</v>
      </c>
      <c r="H132">
        <v>3</v>
      </c>
      <c r="I132" t="s">
        <v>640</v>
      </c>
      <c r="J132" t="s">
        <v>641</v>
      </c>
      <c r="K132" t="s">
        <v>642</v>
      </c>
      <c r="L132">
        <v>1348</v>
      </c>
      <c r="N132">
        <v>1009</v>
      </c>
      <c r="O132" t="s">
        <v>246</v>
      </c>
      <c r="P132" t="s">
        <v>246</v>
      </c>
      <c r="Q132">
        <v>1000</v>
      </c>
      <c r="W132">
        <v>0</v>
      </c>
      <c r="X132">
        <v>-1595697914</v>
      </c>
      <c r="Y132">
        <v>0.006</v>
      </c>
      <c r="AA132">
        <v>278721.04</v>
      </c>
      <c r="AB132">
        <v>0</v>
      </c>
      <c r="AC132">
        <v>0</v>
      </c>
      <c r="AD132">
        <v>0</v>
      </c>
      <c r="AE132">
        <v>49244</v>
      </c>
      <c r="AF132">
        <v>0</v>
      </c>
      <c r="AG132">
        <v>0</v>
      </c>
      <c r="AH132">
        <v>0</v>
      </c>
      <c r="AI132">
        <v>5.66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T132">
        <v>0.006</v>
      </c>
      <c r="AV132">
        <v>0</v>
      </c>
      <c r="AW132">
        <v>2</v>
      </c>
      <c r="AX132">
        <v>42255157</v>
      </c>
      <c r="AY132">
        <v>1</v>
      </c>
      <c r="AZ132">
        <v>0</v>
      </c>
      <c r="BA132">
        <v>134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Y132*Source!I170</f>
        <v>0.003</v>
      </c>
      <c r="CY132">
        <f t="shared" si="3"/>
        <v>278721.04</v>
      </c>
      <c r="CZ132">
        <f t="shared" si="4"/>
        <v>49244</v>
      </c>
      <c r="DA132">
        <f t="shared" si="5"/>
        <v>5.66</v>
      </c>
      <c r="DB132">
        <v>0</v>
      </c>
    </row>
    <row r="133" spans="1:106" ht="12.75">
      <c r="A133">
        <f>ROW(Source!A170)</f>
        <v>170</v>
      </c>
      <c r="B133">
        <v>42253831</v>
      </c>
      <c r="C133">
        <v>42255129</v>
      </c>
      <c r="D133">
        <v>36838359</v>
      </c>
      <c r="E133">
        <v>1</v>
      </c>
      <c r="F133">
        <v>1</v>
      </c>
      <c r="G133">
        <v>1</v>
      </c>
      <c r="H133">
        <v>3</v>
      </c>
      <c r="I133" t="s">
        <v>643</v>
      </c>
      <c r="J133" t="s">
        <v>644</v>
      </c>
      <c r="K133" t="s">
        <v>645</v>
      </c>
      <c r="L133">
        <v>1348</v>
      </c>
      <c r="N133">
        <v>1009</v>
      </c>
      <c r="O133" t="s">
        <v>246</v>
      </c>
      <c r="P133" t="s">
        <v>246</v>
      </c>
      <c r="Q133">
        <v>1000</v>
      </c>
      <c r="W133">
        <v>0</v>
      </c>
      <c r="X133">
        <v>-1416762873</v>
      </c>
      <c r="Y133">
        <v>0.05</v>
      </c>
      <c r="AA133">
        <v>51358.27</v>
      </c>
      <c r="AB133">
        <v>0</v>
      </c>
      <c r="AC133">
        <v>0</v>
      </c>
      <c r="AD133">
        <v>0</v>
      </c>
      <c r="AE133">
        <v>9073.9</v>
      </c>
      <c r="AF133">
        <v>0</v>
      </c>
      <c r="AG133">
        <v>0</v>
      </c>
      <c r="AH133">
        <v>0</v>
      </c>
      <c r="AI133">
        <v>5.66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T133">
        <v>0.05</v>
      </c>
      <c r="AV133">
        <v>0</v>
      </c>
      <c r="AW133">
        <v>2</v>
      </c>
      <c r="AX133">
        <v>42255158</v>
      </c>
      <c r="AY133">
        <v>1</v>
      </c>
      <c r="AZ133">
        <v>0</v>
      </c>
      <c r="BA133">
        <v>135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Y133*Source!I170</f>
        <v>0.025</v>
      </c>
      <c r="CY133">
        <f t="shared" si="3"/>
        <v>51358.27</v>
      </c>
      <c r="CZ133">
        <f t="shared" si="4"/>
        <v>9073.9</v>
      </c>
      <c r="DA133">
        <f t="shared" si="5"/>
        <v>5.66</v>
      </c>
      <c r="DB133">
        <v>0</v>
      </c>
    </row>
    <row r="134" spans="1:106" ht="12.75">
      <c r="A134">
        <f>ROW(Source!A170)</f>
        <v>170</v>
      </c>
      <c r="B134">
        <v>42253831</v>
      </c>
      <c r="C134">
        <v>42255129</v>
      </c>
      <c r="D134">
        <v>36839075</v>
      </c>
      <c r="E134">
        <v>1</v>
      </c>
      <c r="F134">
        <v>1</v>
      </c>
      <c r="G134">
        <v>1</v>
      </c>
      <c r="H134">
        <v>3</v>
      </c>
      <c r="I134" t="s">
        <v>646</v>
      </c>
      <c r="J134" t="s">
        <v>647</v>
      </c>
      <c r="K134" t="s">
        <v>648</v>
      </c>
      <c r="L134">
        <v>1348</v>
      </c>
      <c r="N134">
        <v>1009</v>
      </c>
      <c r="O134" t="s">
        <v>246</v>
      </c>
      <c r="P134" t="s">
        <v>246</v>
      </c>
      <c r="Q134">
        <v>1000</v>
      </c>
      <c r="W134">
        <v>0</v>
      </c>
      <c r="X134">
        <v>660177166</v>
      </c>
      <c r="Y134">
        <v>0.0011</v>
      </c>
      <c r="AA134">
        <v>43676.52</v>
      </c>
      <c r="AB134">
        <v>0</v>
      </c>
      <c r="AC134">
        <v>0</v>
      </c>
      <c r="AD134">
        <v>0</v>
      </c>
      <c r="AE134">
        <v>7716.7</v>
      </c>
      <c r="AF134">
        <v>0</v>
      </c>
      <c r="AG134">
        <v>0</v>
      </c>
      <c r="AH134">
        <v>0</v>
      </c>
      <c r="AI134">
        <v>5.66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0.0011</v>
      </c>
      <c r="AV134">
        <v>0</v>
      </c>
      <c r="AW134">
        <v>2</v>
      </c>
      <c r="AX134">
        <v>42255159</v>
      </c>
      <c r="AY134">
        <v>1</v>
      </c>
      <c r="AZ134">
        <v>0</v>
      </c>
      <c r="BA134">
        <v>136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Y134*Source!I170</f>
        <v>0.00055</v>
      </c>
      <c r="CY134">
        <f t="shared" si="3"/>
        <v>43676.52</v>
      </c>
      <c r="CZ134">
        <f t="shared" si="4"/>
        <v>7716.7</v>
      </c>
      <c r="DA134">
        <f t="shared" si="5"/>
        <v>5.66</v>
      </c>
      <c r="DB134">
        <v>0</v>
      </c>
    </row>
    <row r="135" spans="1:106" ht="12.75">
      <c r="A135">
        <f>ROW(Source!A171)</f>
        <v>171</v>
      </c>
      <c r="B135">
        <v>42253831</v>
      </c>
      <c r="C135">
        <v>42255160</v>
      </c>
      <c r="D135">
        <v>37070202</v>
      </c>
      <c r="E135">
        <v>1</v>
      </c>
      <c r="F135">
        <v>1</v>
      </c>
      <c r="G135">
        <v>1</v>
      </c>
      <c r="H135">
        <v>1</v>
      </c>
      <c r="I135" t="s">
        <v>649</v>
      </c>
      <c r="K135" t="s">
        <v>650</v>
      </c>
      <c r="L135">
        <v>1191</v>
      </c>
      <c r="N135">
        <v>1013</v>
      </c>
      <c r="O135" t="s">
        <v>462</v>
      </c>
      <c r="P135" t="s">
        <v>462</v>
      </c>
      <c r="Q135">
        <v>1</v>
      </c>
      <c r="W135">
        <v>0</v>
      </c>
      <c r="X135">
        <v>1983201532</v>
      </c>
      <c r="Y135">
        <v>21.2</v>
      </c>
      <c r="AA135">
        <v>0</v>
      </c>
      <c r="AB135">
        <v>0</v>
      </c>
      <c r="AC135">
        <v>0</v>
      </c>
      <c r="AD135">
        <v>189.82</v>
      </c>
      <c r="AE135">
        <v>0</v>
      </c>
      <c r="AF135">
        <v>0</v>
      </c>
      <c r="AG135">
        <v>0</v>
      </c>
      <c r="AH135">
        <v>9.51</v>
      </c>
      <c r="AI135">
        <v>1</v>
      </c>
      <c r="AJ135">
        <v>1</v>
      </c>
      <c r="AK135">
        <v>1</v>
      </c>
      <c r="AL135">
        <v>19.96</v>
      </c>
      <c r="AN135">
        <v>0</v>
      </c>
      <c r="AO135">
        <v>1</v>
      </c>
      <c r="AP135">
        <v>0</v>
      </c>
      <c r="AQ135">
        <v>0</v>
      </c>
      <c r="AR135">
        <v>0</v>
      </c>
      <c r="AT135">
        <v>21.2</v>
      </c>
      <c r="AV135">
        <v>1</v>
      </c>
      <c r="AW135">
        <v>2</v>
      </c>
      <c r="AX135">
        <v>42255169</v>
      </c>
      <c r="AY135">
        <v>1</v>
      </c>
      <c r="AZ135">
        <v>0</v>
      </c>
      <c r="BA135">
        <v>137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Y135*Source!I171</f>
        <v>36.04</v>
      </c>
      <c r="CY135">
        <f>AD135</f>
        <v>189.82</v>
      </c>
      <c r="CZ135">
        <f>AH135</f>
        <v>9.51</v>
      </c>
      <c r="DA135">
        <f>AL135</f>
        <v>19.96</v>
      </c>
      <c r="DB135">
        <v>0</v>
      </c>
    </row>
    <row r="136" spans="1:106" ht="12.75">
      <c r="A136">
        <f>ROW(Source!A171)</f>
        <v>171</v>
      </c>
      <c r="B136">
        <v>42253831</v>
      </c>
      <c r="C136">
        <v>42255160</v>
      </c>
      <c r="D136">
        <v>37064876</v>
      </c>
      <c r="E136">
        <v>1</v>
      </c>
      <c r="F136">
        <v>1</v>
      </c>
      <c r="G136">
        <v>1</v>
      </c>
      <c r="H136">
        <v>1</v>
      </c>
      <c r="I136" t="s">
        <v>465</v>
      </c>
      <c r="K136" t="s">
        <v>466</v>
      </c>
      <c r="L136">
        <v>1191</v>
      </c>
      <c r="N136">
        <v>1013</v>
      </c>
      <c r="O136" t="s">
        <v>462</v>
      </c>
      <c r="P136" t="s">
        <v>462</v>
      </c>
      <c r="Q136">
        <v>1</v>
      </c>
      <c r="W136">
        <v>0</v>
      </c>
      <c r="X136">
        <v>-1417349443</v>
      </c>
      <c r="Y136">
        <v>0.2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19.96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T136">
        <v>0.2</v>
      </c>
      <c r="AV136">
        <v>2</v>
      </c>
      <c r="AW136">
        <v>2</v>
      </c>
      <c r="AX136">
        <v>42255170</v>
      </c>
      <c r="AY136">
        <v>1</v>
      </c>
      <c r="AZ136">
        <v>0</v>
      </c>
      <c r="BA136">
        <v>138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Y136*Source!I171</f>
        <v>0.34</v>
      </c>
      <c r="CY136">
        <f>AD136</f>
        <v>0</v>
      </c>
      <c r="CZ136">
        <f>AH136</f>
        <v>0</v>
      </c>
      <c r="DA136">
        <f>AL136</f>
        <v>1</v>
      </c>
      <c r="DB136">
        <v>0</v>
      </c>
    </row>
    <row r="137" spans="1:106" ht="12.75">
      <c r="A137">
        <f>ROW(Source!A171)</f>
        <v>171</v>
      </c>
      <c r="B137">
        <v>42253831</v>
      </c>
      <c r="C137">
        <v>42255160</v>
      </c>
      <c r="D137">
        <v>36882787</v>
      </c>
      <c r="E137">
        <v>1</v>
      </c>
      <c r="F137">
        <v>1</v>
      </c>
      <c r="G137">
        <v>1</v>
      </c>
      <c r="H137">
        <v>2</v>
      </c>
      <c r="I137" t="s">
        <v>651</v>
      </c>
      <c r="J137" t="s">
        <v>652</v>
      </c>
      <c r="K137" t="s">
        <v>653</v>
      </c>
      <c r="L137">
        <v>1368</v>
      </c>
      <c r="N137">
        <v>1011</v>
      </c>
      <c r="O137" t="s">
        <v>470</v>
      </c>
      <c r="P137" t="s">
        <v>470</v>
      </c>
      <c r="Q137">
        <v>1</v>
      </c>
      <c r="W137">
        <v>0</v>
      </c>
      <c r="X137">
        <v>520357435</v>
      </c>
      <c r="Y137">
        <v>1.95</v>
      </c>
      <c r="AA137">
        <v>0</v>
      </c>
      <c r="AB137">
        <v>213.3</v>
      </c>
      <c r="AC137">
        <v>0</v>
      </c>
      <c r="AD137">
        <v>0</v>
      </c>
      <c r="AE137">
        <v>0</v>
      </c>
      <c r="AF137">
        <v>30</v>
      </c>
      <c r="AG137">
        <v>0</v>
      </c>
      <c r="AH137">
        <v>0</v>
      </c>
      <c r="AI137">
        <v>1</v>
      </c>
      <c r="AJ137">
        <v>7.11</v>
      </c>
      <c r="AK137">
        <v>19.96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1.95</v>
      </c>
      <c r="AV137">
        <v>0</v>
      </c>
      <c r="AW137">
        <v>2</v>
      </c>
      <c r="AX137">
        <v>42255171</v>
      </c>
      <c r="AY137">
        <v>1</v>
      </c>
      <c r="AZ137">
        <v>0</v>
      </c>
      <c r="BA137">
        <v>139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Y137*Source!I171</f>
        <v>3.315</v>
      </c>
      <c r="CY137">
        <f>AB137</f>
        <v>213.3</v>
      </c>
      <c r="CZ137">
        <f>AF137</f>
        <v>30</v>
      </c>
      <c r="DA137">
        <f>AJ137</f>
        <v>7.11</v>
      </c>
      <c r="DB137">
        <v>0</v>
      </c>
    </row>
    <row r="138" spans="1:106" ht="12.75">
      <c r="A138">
        <f>ROW(Source!A171)</f>
        <v>171</v>
      </c>
      <c r="B138">
        <v>42253831</v>
      </c>
      <c r="C138">
        <v>42255160</v>
      </c>
      <c r="D138">
        <v>36883554</v>
      </c>
      <c r="E138">
        <v>1</v>
      </c>
      <c r="F138">
        <v>1</v>
      </c>
      <c r="G138">
        <v>1</v>
      </c>
      <c r="H138">
        <v>2</v>
      </c>
      <c r="I138" t="s">
        <v>498</v>
      </c>
      <c r="J138" t="s">
        <v>499</v>
      </c>
      <c r="K138" t="s">
        <v>500</v>
      </c>
      <c r="L138">
        <v>1368</v>
      </c>
      <c r="N138">
        <v>1011</v>
      </c>
      <c r="O138" t="s">
        <v>470</v>
      </c>
      <c r="P138" t="s">
        <v>470</v>
      </c>
      <c r="Q138">
        <v>1</v>
      </c>
      <c r="W138">
        <v>0</v>
      </c>
      <c r="X138">
        <v>1372534845</v>
      </c>
      <c r="Y138">
        <v>0.2</v>
      </c>
      <c r="AA138">
        <v>0</v>
      </c>
      <c r="AB138">
        <v>467.2</v>
      </c>
      <c r="AC138">
        <v>231.54</v>
      </c>
      <c r="AD138">
        <v>0</v>
      </c>
      <c r="AE138">
        <v>0</v>
      </c>
      <c r="AF138">
        <v>65.71</v>
      </c>
      <c r="AG138">
        <v>11.6</v>
      </c>
      <c r="AH138">
        <v>0</v>
      </c>
      <c r="AI138">
        <v>1</v>
      </c>
      <c r="AJ138">
        <v>7.11</v>
      </c>
      <c r="AK138">
        <v>19.96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T138">
        <v>0.2</v>
      </c>
      <c r="AV138">
        <v>0</v>
      </c>
      <c r="AW138">
        <v>2</v>
      </c>
      <c r="AX138">
        <v>42255172</v>
      </c>
      <c r="AY138">
        <v>1</v>
      </c>
      <c r="AZ138">
        <v>0</v>
      </c>
      <c r="BA138">
        <v>140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Y138*Source!I171</f>
        <v>0.34</v>
      </c>
      <c r="CY138">
        <f>AB138</f>
        <v>467.2</v>
      </c>
      <c r="CZ138">
        <f>AF138</f>
        <v>65.71</v>
      </c>
      <c r="DA138">
        <f>AJ138</f>
        <v>7.11</v>
      </c>
      <c r="DB138">
        <v>0</v>
      </c>
    </row>
    <row r="139" spans="1:106" ht="12.75">
      <c r="A139">
        <f>ROW(Source!A171)</f>
        <v>171</v>
      </c>
      <c r="B139">
        <v>42253831</v>
      </c>
      <c r="C139">
        <v>42255160</v>
      </c>
      <c r="D139">
        <v>36799854</v>
      </c>
      <c r="E139">
        <v>1</v>
      </c>
      <c r="F139">
        <v>1</v>
      </c>
      <c r="G139">
        <v>1</v>
      </c>
      <c r="H139">
        <v>3</v>
      </c>
      <c r="I139" t="s">
        <v>654</v>
      </c>
      <c r="J139" t="s">
        <v>655</v>
      </c>
      <c r="K139" t="s">
        <v>656</v>
      </c>
      <c r="L139">
        <v>1348</v>
      </c>
      <c r="N139">
        <v>1009</v>
      </c>
      <c r="O139" t="s">
        <v>246</v>
      </c>
      <c r="P139" t="s">
        <v>246</v>
      </c>
      <c r="Q139">
        <v>1000</v>
      </c>
      <c r="W139">
        <v>0</v>
      </c>
      <c r="X139">
        <v>110322092</v>
      </c>
      <c r="Y139">
        <v>0.016</v>
      </c>
      <c r="AA139">
        <v>7828.35</v>
      </c>
      <c r="AB139">
        <v>0</v>
      </c>
      <c r="AC139">
        <v>0</v>
      </c>
      <c r="AD139">
        <v>0</v>
      </c>
      <c r="AE139">
        <v>1383.1</v>
      </c>
      <c r="AF139">
        <v>0</v>
      </c>
      <c r="AG139">
        <v>0</v>
      </c>
      <c r="AH139">
        <v>0</v>
      </c>
      <c r="AI139">
        <v>5.66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T139">
        <v>0.016</v>
      </c>
      <c r="AV139">
        <v>0</v>
      </c>
      <c r="AW139">
        <v>2</v>
      </c>
      <c r="AX139">
        <v>42255173</v>
      </c>
      <c r="AY139">
        <v>1</v>
      </c>
      <c r="AZ139">
        <v>0</v>
      </c>
      <c r="BA139">
        <v>141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Y139*Source!I171</f>
        <v>0.0272</v>
      </c>
      <c r="CY139">
        <f>AA139</f>
        <v>7828.35</v>
      </c>
      <c r="CZ139">
        <f>AE139</f>
        <v>1383.1</v>
      </c>
      <c r="DA139">
        <f>AI139</f>
        <v>5.66</v>
      </c>
      <c r="DB139">
        <v>0</v>
      </c>
    </row>
    <row r="140" spans="1:106" ht="12.75">
      <c r="A140">
        <f>ROW(Source!A171)</f>
        <v>171</v>
      </c>
      <c r="B140">
        <v>42253831</v>
      </c>
      <c r="C140">
        <v>42255160</v>
      </c>
      <c r="D140">
        <v>36799896</v>
      </c>
      <c r="E140">
        <v>1</v>
      </c>
      <c r="F140">
        <v>1</v>
      </c>
      <c r="G140">
        <v>1</v>
      </c>
      <c r="H140">
        <v>3</v>
      </c>
      <c r="I140" t="s">
        <v>657</v>
      </c>
      <c r="J140" t="s">
        <v>658</v>
      </c>
      <c r="K140" t="s">
        <v>659</v>
      </c>
      <c r="L140">
        <v>1348</v>
      </c>
      <c r="N140">
        <v>1009</v>
      </c>
      <c r="O140" t="s">
        <v>246</v>
      </c>
      <c r="P140" t="s">
        <v>246</v>
      </c>
      <c r="Q140">
        <v>1000</v>
      </c>
      <c r="W140">
        <v>0</v>
      </c>
      <c r="X140">
        <v>-967072784</v>
      </c>
      <c r="Y140">
        <v>0.24</v>
      </c>
      <c r="AA140">
        <v>19187.4</v>
      </c>
      <c r="AB140">
        <v>0</v>
      </c>
      <c r="AC140">
        <v>0</v>
      </c>
      <c r="AD140">
        <v>0</v>
      </c>
      <c r="AE140">
        <v>3390</v>
      </c>
      <c r="AF140">
        <v>0</v>
      </c>
      <c r="AG140">
        <v>0</v>
      </c>
      <c r="AH140">
        <v>0</v>
      </c>
      <c r="AI140">
        <v>5.66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0.24</v>
      </c>
      <c r="AV140">
        <v>0</v>
      </c>
      <c r="AW140">
        <v>2</v>
      </c>
      <c r="AX140">
        <v>42255174</v>
      </c>
      <c r="AY140">
        <v>1</v>
      </c>
      <c r="AZ140">
        <v>0</v>
      </c>
      <c r="BA140">
        <v>142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Y140*Source!I171</f>
        <v>0.408</v>
      </c>
      <c r="CY140">
        <f>AA140</f>
        <v>19187.4</v>
      </c>
      <c r="CZ140">
        <f>AE140</f>
        <v>3390</v>
      </c>
      <c r="DA140">
        <f>AI140</f>
        <v>5.66</v>
      </c>
      <c r="DB140">
        <v>0</v>
      </c>
    </row>
    <row r="141" spans="1:106" ht="12.75">
      <c r="A141">
        <f>ROW(Source!A171)</f>
        <v>171</v>
      </c>
      <c r="B141">
        <v>42253831</v>
      </c>
      <c r="C141">
        <v>42255160</v>
      </c>
      <c r="D141">
        <v>36800047</v>
      </c>
      <c r="E141">
        <v>1</v>
      </c>
      <c r="F141">
        <v>1</v>
      </c>
      <c r="G141">
        <v>1</v>
      </c>
      <c r="H141">
        <v>3</v>
      </c>
      <c r="I141" t="s">
        <v>660</v>
      </c>
      <c r="J141" t="s">
        <v>661</v>
      </c>
      <c r="K141" t="s">
        <v>662</v>
      </c>
      <c r="L141">
        <v>1348</v>
      </c>
      <c r="N141">
        <v>1009</v>
      </c>
      <c r="O141" t="s">
        <v>246</v>
      </c>
      <c r="P141" t="s">
        <v>246</v>
      </c>
      <c r="Q141">
        <v>1000</v>
      </c>
      <c r="W141">
        <v>0</v>
      </c>
      <c r="X141">
        <v>-1709508773</v>
      </c>
      <c r="Y141">
        <v>0.024</v>
      </c>
      <c r="AA141">
        <v>14755.05</v>
      </c>
      <c r="AB141">
        <v>0</v>
      </c>
      <c r="AC141">
        <v>0</v>
      </c>
      <c r="AD141">
        <v>0</v>
      </c>
      <c r="AE141">
        <v>2606.9</v>
      </c>
      <c r="AF141">
        <v>0</v>
      </c>
      <c r="AG141">
        <v>0</v>
      </c>
      <c r="AH141">
        <v>0</v>
      </c>
      <c r="AI141">
        <v>5.66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0.024</v>
      </c>
      <c r="AV141">
        <v>0</v>
      </c>
      <c r="AW141">
        <v>2</v>
      </c>
      <c r="AX141">
        <v>42255175</v>
      </c>
      <c r="AY141">
        <v>1</v>
      </c>
      <c r="AZ141">
        <v>0</v>
      </c>
      <c r="BA141">
        <v>143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Y141*Source!I171</f>
        <v>0.0408</v>
      </c>
      <c r="CY141">
        <f>AA141</f>
        <v>14755.05</v>
      </c>
      <c r="CZ141">
        <f>AE141</f>
        <v>2606.9</v>
      </c>
      <c r="DA141">
        <f>AI141</f>
        <v>5.66</v>
      </c>
      <c r="DB141">
        <v>0</v>
      </c>
    </row>
    <row r="142" spans="1:106" ht="12.75">
      <c r="A142">
        <f>ROW(Source!A171)</f>
        <v>171</v>
      </c>
      <c r="B142">
        <v>42253831</v>
      </c>
      <c r="C142">
        <v>42255160</v>
      </c>
      <c r="D142">
        <v>36805524</v>
      </c>
      <c r="E142">
        <v>1</v>
      </c>
      <c r="F142">
        <v>1</v>
      </c>
      <c r="G142">
        <v>1</v>
      </c>
      <c r="H142">
        <v>3</v>
      </c>
      <c r="I142" t="s">
        <v>634</v>
      </c>
      <c r="J142" t="s">
        <v>635</v>
      </c>
      <c r="K142" t="s">
        <v>636</v>
      </c>
      <c r="L142">
        <v>1346</v>
      </c>
      <c r="N142">
        <v>1009</v>
      </c>
      <c r="O142" t="s">
        <v>386</v>
      </c>
      <c r="P142" t="s">
        <v>386</v>
      </c>
      <c r="Q142">
        <v>1</v>
      </c>
      <c r="W142">
        <v>0</v>
      </c>
      <c r="X142">
        <v>813963326</v>
      </c>
      <c r="Y142">
        <v>0.1</v>
      </c>
      <c r="AA142">
        <v>10.3</v>
      </c>
      <c r="AB142">
        <v>0</v>
      </c>
      <c r="AC142">
        <v>0</v>
      </c>
      <c r="AD142">
        <v>0</v>
      </c>
      <c r="AE142">
        <v>1.82</v>
      </c>
      <c r="AF142">
        <v>0</v>
      </c>
      <c r="AG142">
        <v>0</v>
      </c>
      <c r="AH142">
        <v>0</v>
      </c>
      <c r="AI142">
        <v>5.66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T142">
        <v>0.1</v>
      </c>
      <c r="AV142">
        <v>0</v>
      </c>
      <c r="AW142">
        <v>2</v>
      </c>
      <c r="AX142">
        <v>42255176</v>
      </c>
      <c r="AY142">
        <v>1</v>
      </c>
      <c r="AZ142">
        <v>0</v>
      </c>
      <c r="BA142">
        <v>144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Y142*Source!I171</f>
        <v>0.17</v>
      </c>
      <c r="CY142">
        <f>AA142</f>
        <v>10.3</v>
      </c>
      <c r="CZ142">
        <f>AE142</f>
        <v>1.82</v>
      </c>
      <c r="DA142">
        <f>AI142</f>
        <v>5.66</v>
      </c>
      <c r="DB142">
        <v>0</v>
      </c>
    </row>
    <row r="143" spans="1:106" ht="12.75">
      <c r="A143">
        <f>ROW(Source!A173)</f>
        <v>173</v>
      </c>
      <c r="B143">
        <v>42253831</v>
      </c>
      <c r="C143">
        <v>42263685</v>
      </c>
      <c r="D143">
        <v>37064998</v>
      </c>
      <c r="E143">
        <v>1</v>
      </c>
      <c r="F143">
        <v>1</v>
      </c>
      <c r="G143">
        <v>1</v>
      </c>
      <c r="H143">
        <v>1</v>
      </c>
      <c r="I143" t="s">
        <v>463</v>
      </c>
      <c r="K143" t="s">
        <v>464</v>
      </c>
      <c r="L143">
        <v>1191</v>
      </c>
      <c r="N143">
        <v>1013</v>
      </c>
      <c r="O143" t="s">
        <v>462</v>
      </c>
      <c r="P143" t="s">
        <v>462</v>
      </c>
      <c r="Q143">
        <v>1</v>
      </c>
      <c r="W143">
        <v>0</v>
      </c>
      <c r="X143">
        <v>735429535</v>
      </c>
      <c r="Y143">
        <v>180</v>
      </c>
      <c r="AA143">
        <v>0</v>
      </c>
      <c r="AB143">
        <v>0</v>
      </c>
      <c r="AC143">
        <v>0</v>
      </c>
      <c r="AD143">
        <v>155.69</v>
      </c>
      <c r="AE143">
        <v>0</v>
      </c>
      <c r="AF143">
        <v>0</v>
      </c>
      <c r="AG143">
        <v>0</v>
      </c>
      <c r="AH143">
        <v>7.8</v>
      </c>
      <c r="AI143">
        <v>1</v>
      </c>
      <c r="AJ143">
        <v>1</v>
      </c>
      <c r="AK143">
        <v>1</v>
      </c>
      <c r="AL143">
        <v>19.96</v>
      </c>
      <c r="AN143">
        <v>0</v>
      </c>
      <c r="AO143">
        <v>1</v>
      </c>
      <c r="AP143">
        <v>0</v>
      </c>
      <c r="AQ143">
        <v>0</v>
      </c>
      <c r="AR143">
        <v>0</v>
      </c>
      <c r="AT143">
        <v>180</v>
      </c>
      <c r="AV143">
        <v>1</v>
      </c>
      <c r="AW143">
        <v>2</v>
      </c>
      <c r="AX143">
        <v>42263694</v>
      </c>
      <c r="AY143">
        <v>1</v>
      </c>
      <c r="AZ143">
        <v>0</v>
      </c>
      <c r="BA143">
        <v>145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Y143*Source!I173</f>
        <v>5.3999999999999995</v>
      </c>
      <c r="CY143">
        <f>AD143</f>
        <v>155.69</v>
      </c>
      <c r="CZ143">
        <f>AH143</f>
        <v>7.8</v>
      </c>
      <c r="DA143">
        <f>AL143</f>
        <v>19.96</v>
      </c>
      <c r="DB143">
        <v>0</v>
      </c>
    </row>
    <row r="144" spans="1:106" ht="12.75">
      <c r="A144">
        <f>ROW(Source!A173)</f>
        <v>173</v>
      </c>
      <c r="B144">
        <v>42253831</v>
      </c>
      <c r="C144">
        <v>42263685</v>
      </c>
      <c r="D144">
        <v>37064876</v>
      </c>
      <c r="E144">
        <v>1</v>
      </c>
      <c r="F144">
        <v>1</v>
      </c>
      <c r="G144">
        <v>1</v>
      </c>
      <c r="H144">
        <v>1</v>
      </c>
      <c r="I144" t="s">
        <v>465</v>
      </c>
      <c r="K144" t="s">
        <v>466</v>
      </c>
      <c r="L144">
        <v>1191</v>
      </c>
      <c r="N144">
        <v>1013</v>
      </c>
      <c r="O144" t="s">
        <v>462</v>
      </c>
      <c r="P144" t="s">
        <v>462</v>
      </c>
      <c r="Q144">
        <v>1</v>
      </c>
      <c r="W144">
        <v>0</v>
      </c>
      <c r="X144">
        <v>-1417349443</v>
      </c>
      <c r="Y144">
        <v>18.13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19.96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18.13</v>
      </c>
      <c r="AV144">
        <v>2</v>
      </c>
      <c r="AW144">
        <v>2</v>
      </c>
      <c r="AX144">
        <v>42263695</v>
      </c>
      <c r="AY144">
        <v>1</v>
      </c>
      <c r="AZ144">
        <v>0</v>
      </c>
      <c r="BA144">
        <v>146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Y144*Source!I173</f>
        <v>0.5438999999999999</v>
      </c>
      <c r="CY144">
        <f>AD144</f>
        <v>0</v>
      </c>
      <c r="CZ144">
        <f>AH144</f>
        <v>0</v>
      </c>
      <c r="DA144">
        <f>AL144</f>
        <v>1</v>
      </c>
      <c r="DB144">
        <v>0</v>
      </c>
    </row>
    <row r="145" spans="1:106" ht="12.75">
      <c r="A145">
        <f>ROW(Source!A173)</f>
        <v>173</v>
      </c>
      <c r="B145">
        <v>42253831</v>
      </c>
      <c r="C145">
        <v>42263685</v>
      </c>
      <c r="D145">
        <v>36882057</v>
      </c>
      <c r="E145">
        <v>1</v>
      </c>
      <c r="F145">
        <v>1</v>
      </c>
      <c r="G145">
        <v>1</v>
      </c>
      <c r="H145">
        <v>2</v>
      </c>
      <c r="I145" t="s">
        <v>543</v>
      </c>
      <c r="J145" t="s">
        <v>544</v>
      </c>
      <c r="K145" t="s">
        <v>545</v>
      </c>
      <c r="L145">
        <v>1368</v>
      </c>
      <c r="N145">
        <v>1011</v>
      </c>
      <c r="O145" t="s">
        <v>470</v>
      </c>
      <c r="P145" t="s">
        <v>470</v>
      </c>
      <c r="Q145">
        <v>1</v>
      </c>
      <c r="W145">
        <v>0</v>
      </c>
      <c r="X145">
        <v>-1460065968</v>
      </c>
      <c r="Y145">
        <v>18</v>
      </c>
      <c r="AA145">
        <v>0</v>
      </c>
      <c r="AB145">
        <v>614.3</v>
      </c>
      <c r="AC145">
        <v>269.46</v>
      </c>
      <c r="AD145">
        <v>0</v>
      </c>
      <c r="AE145">
        <v>0</v>
      </c>
      <c r="AF145">
        <v>86.4</v>
      </c>
      <c r="AG145">
        <v>13.5</v>
      </c>
      <c r="AH145">
        <v>0</v>
      </c>
      <c r="AI145">
        <v>1</v>
      </c>
      <c r="AJ145">
        <v>7.11</v>
      </c>
      <c r="AK145">
        <v>19.96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18</v>
      </c>
      <c r="AV145">
        <v>0</v>
      </c>
      <c r="AW145">
        <v>2</v>
      </c>
      <c r="AX145">
        <v>42263696</v>
      </c>
      <c r="AY145">
        <v>1</v>
      </c>
      <c r="AZ145">
        <v>0</v>
      </c>
      <c r="BA145">
        <v>147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Y145*Source!I173</f>
        <v>0.54</v>
      </c>
      <c r="CY145">
        <f>AB145</f>
        <v>614.3</v>
      </c>
      <c r="CZ145">
        <f>AF145</f>
        <v>86.4</v>
      </c>
      <c r="DA145">
        <f>AJ145</f>
        <v>7.11</v>
      </c>
      <c r="DB145">
        <v>0</v>
      </c>
    </row>
    <row r="146" spans="1:106" ht="12.75">
      <c r="A146">
        <f>ROW(Source!A173)</f>
        <v>173</v>
      </c>
      <c r="B146">
        <v>42253831</v>
      </c>
      <c r="C146">
        <v>42263685</v>
      </c>
      <c r="D146">
        <v>36882569</v>
      </c>
      <c r="E146">
        <v>1</v>
      </c>
      <c r="F146">
        <v>1</v>
      </c>
      <c r="G146">
        <v>1</v>
      </c>
      <c r="H146">
        <v>2</v>
      </c>
      <c r="I146" t="s">
        <v>546</v>
      </c>
      <c r="J146" t="s">
        <v>547</v>
      </c>
      <c r="K146" t="s">
        <v>548</v>
      </c>
      <c r="L146">
        <v>1368</v>
      </c>
      <c r="N146">
        <v>1011</v>
      </c>
      <c r="O146" t="s">
        <v>470</v>
      </c>
      <c r="P146" t="s">
        <v>470</v>
      </c>
      <c r="Q146">
        <v>1</v>
      </c>
      <c r="W146">
        <v>0</v>
      </c>
      <c r="X146">
        <v>126902709</v>
      </c>
      <c r="Y146">
        <v>48</v>
      </c>
      <c r="AA146">
        <v>0</v>
      </c>
      <c r="AB146">
        <v>3.56</v>
      </c>
      <c r="AC146">
        <v>0</v>
      </c>
      <c r="AD146">
        <v>0</v>
      </c>
      <c r="AE146">
        <v>0</v>
      </c>
      <c r="AF146">
        <v>0.5</v>
      </c>
      <c r="AG146">
        <v>0</v>
      </c>
      <c r="AH146">
        <v>0</v>
      </c>
      <c r="AI146">
        <v>1</v>
      </c>
      <c r="AJ146">
        <v>7.11</v>
      </c>
      <c r="AK146">
        <v>19.96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T146">
        <v>48</v>
      </c>
      <c r="AV146">
        <v>0</v>
      </c>
      <c r="AW146">
        <v>2</v>
      </c>
      <c r="AX146">
        <v>42263697</v>
      </c>
      <c r="AY146">
        <v>1</v>
      </c>
      <c r="AZ146">
        <v>0</v>
      </c>
      <c r="BA146">
        <v>148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Y146*Source!I173</f>
        <v>1.44</v>
      </c>
      <c r="CY146">
        <f>AB146</f>
        <v>3.56</v>
      </c>
      <c r="CZ146">
        <f>AF146</f>
        <v>0.5</v>
      </c>
      <c r="DA146">
        <f>AJ146</f>
        <v>7.11</v>
      </c>
      <c r="DB146">
        <v>0</v>
      </c>
    </row>
    <row r="147" spans="1:106" ht="12.75">
      <c r="A147">
        <f>ROW(Source!A173)</f>
        <v>173</v>
      </c>
      <c r="B147">
        <v>42253831</v>
      </c>
      <c r="C147">
        <v>42263685</v>
      </c>
      <c r="D147">
        <v>36883554</v>
      </c>
      <c r="E147">
        <v>1</v>
      </c>
      <c r="F147">
        <v>1</v>
      </c>
      <c r="G147">
        <v>1</v>
      </c>
      <c r="H147">
        <v>2</v>
      </c>
      <c r="I147" t="s">
        <v>498</v>
      </c>
      <c r="J147" t="s">
        <v>499</v>
      </c>
      <c r="K147" t="s">
        <v>500</v>
      </c>
      <c r="L147">
        <v>1368</v>
      </c>
      <c r="N147">
        <v>1011</v>
      </c>
      <c r="O147" t="s">
        <v>470</v>
      </c>
      <c r="P147" t="s">
        <v>470</v>
      </c>
      <c r="Q147">
        <v>1</v>
      </c>
      <c r="W147">
        <v>0</v>
      </c>
      <c r="X147">
        <v>1372534845</v>
      </c>
      <c r="Y147">
        <v>0.13</v>
      </c>
      <c r="AA147">
        <v>0</v>
      </c>
      <c r="AB147">
        <v>467.2</v>
      </c>
      <c r="AC147">
        <v>231.54</v>
      </c>
      <c r="AD147">
        <v>0</v>
      </c>
      <c r="AE147">
        <v>0</v>
      </c>
      <c r="AF147">
        <v>65.71</v>
      </c>
      <c r="AG147">
        <v>11.6</v>
      </c>
      <c r="AH147">
        <v>0</v>
      </c>
      <c r="AI147">
        <v>1</v>
      </c>
      <c r="AJ147">
        <v>7.11</v>
      </c>
      <c r="AK147">
        <v>19.96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0.13</v>
      </c>
      <c r="AV147">
        <v>0</v>
      </c>
      <c r="AW147">
        <v>2</v>
      </c>
      <c r="AX147">
        <v>42263698</v>
      </c>
      <c r="AY147">
        <v>1</v>
      </c>
      <c r="AZ147">
        <v>0</v>
      </c>
      <c r="BA147">
        <v>149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Y147*Source!I173</f>
        <v>0.0039</v>
      </c>
      <c r="CY147">
        <f>AB147</f>
        <v>467.2</v>
      </c>
      <c r="CZ147">
        <f>AF147</f>
        <v>65.71</v>
      </c>
      <c r="DA147">
        <f>AJ147</f>
        <v>7.11</v>
      </c>
      <c r="DB147">
        <v>0</v>
      </c>
    </row>
    <row r="148" spans="1:106" ht="12.75">
      <c r="A148">
        <f>ROW(Source!A173)</f>
        <v>173</v>
      </c>
      <c r="B148">
        <v>42253831</v>
      </c>
      <c r="C148">
        <v>42263685</v>
      </c>
      <c r="D148">
        <v>36801792</v>
      </c>
      <c r="E148">
        <v>1</v>
      </c>
      <c r="F148">
        <v>1</v>
      </c>
      <c r="G148">
        <v>1</v>
      </c>
      <c r="H148">
        <v>3</v>
      </c>
      <c r="I148" t="s">
        <v>540</v>
      </c>
      <c r="J148" t="s">
        <v>541</v>
      </c>
      <c r="K148" t="s">
        <v>542</v>
      </c>
      <c r="L148">
        <v>1339</v>
      </c>
      <c r="N148">
        <v>1007</v>
      </c>
      <c r="O148" t="s">
        <v>140</v>
      </c>
      <c r="P148" t="s">
        <v>140</v>
      </c>
      <c r="Q148">
        <v>1</v>
      </c>
      <c r="W148">
        <v>0</v>
      </c>
      <c r="X148">
        <v>-1660354250</v>
      </c>
      <c r="Y148">
        <v>0.2</v>
      </c>
      <c r="AA148">
        <v>13.81</v>
      </c>
      <c r="AB148">
        <v>0</v>
      </c>
      <c r="AC148">
        <v>0</v>
      </c>
      <c r="AD148">
        <v>0</v>
      </c>
      <c r="AE148">
        <v>2.44</v>
      </c>
      <c r="AF148">
        <v>0</v>
      </c>
      <c r="AG148">
        <v>0</v>
      </c>
      <c r="AH148">
        <v>0</v>
      </c>
      <c r="AI148">
        <v>5.66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T148">
        <v>0.2</v>
      </c>
      <c r="AV148">
        <v>0</v>
      </c>
      <c r="AW148">
        <v>2</v>
      </c>
      <c r="AX148">
        <v>42263699</v>
      </c>
      <c r="AY148">
        <v>1</v>
      </c>
      <c r="AZ148">
        <v>0</v>
      </c>
      <c r="BA148">
        <v>150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Y148*Source!I173</f>
        <v>0.006</v>
      </c>
      <c r="CY148">
        <f>AA148</f>
        <v>13.81</v>
      </c>
      <c r="CZ148">
        <f>AE148</f>
        <v>2.44</v>
      </c>
      <c r="DA148">
        <f>AI148</f>
        <v>5.66</v>
      </c>
      <c r="DB148">
        <v>0</v>
      </c>
    </row>
    <row r="149" spans="1:106" ht="12.75">
      <c r="A149">
        <f>ROW(Source!A173)</f>
        <v>173</v>
      </c>
      <c r="B149">
        <v>42253831</v>
      </c>
      <c r="C149">
        <v>42263685</v>
      </c>
      <c r="D149">
        <v>36802304</v>
      </c>
      <c r="E149">
        <v>1</v>
      </c>
      <c r="F149">
        <v>1</v>
      </c>
      <c r="G149">
        <v>1</v>
      </c>
      <c r="H149">
        <v>3</v>
      </c>
      <c r="I149" t="s">
        <v>549</v>
      </c>
      <c r="J149" t="s">
        <v>550</v>
      </c>
      <c r="K149" t="s">
        <v>551</v>
      </c>
      <c r="L149">
        <v>1327</v>
      </c>
      <c r="N149">
        <v>1005</v>
      </c>
      <c r="O149" t="s">
        <v>552</v>
      </c>
      <c r="P149" t="s">
        <v>552</v>
      </c>
      <c r="Q149">
        <v>1</v>
      </c>
      <c r="W149">
        <v>0</v>
      </c>
      <c r="X149">
        <v>440019653</v>
      </c>
      <c r="Y149">
        <v>250</v>
      </c>
      <c r="AA149">
        <v>20.49</v>
      </c>
      <c r="AB149">
        <v>0</v>
      </c>
      <c r="AC149">
        <v>0</v>
      </c>
      <c r="AD149">
        <v>0</v>
      </c>
      <c r="AE149">
        <v>3.62</v>
      </c>
      <c r="AF149">
        <v>0</v>
      </c>
      <c r="AG149">
        <v>0</v>
      </c>
      <c r="AH149">
        <v>0</v>
      </c>
      <c r="AI149">
        <v>5.66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T149">
        <v>250</v>
      </c>
      <c r="AV149">
        <v>0</v>
      </c>
      <c r="AW149">
        <v>2</v>
      </c>
      <c r="AX149">
        <v>42263700</v>
      </c>
      <c r="AY149">
        <v>1</v>
      </c>
      <c r="AZ149">
        <v>0</v>
      </c>
      <c r="BA149">
        <v>151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Y149*Source!I173</f>
        <v>7.5</v>
      </c>
      <c r="CY149">
        <f>AA149</f>
        <v>20.49</v>
      </c>
      <c r="CZ149">
        <f>AE149</f>
        <v>3.62</v>
      </c>
      <c r="DA149">
        <f>AI149</f>
        <v>5.66</v>
      </c>
      <c r="DB149">
        <v>0</v>
      </c>
    </row>
    <row r="150" spans="1:106" ht="12.75">
      <c r="A150">
        <f>ROW(Source!A173)</f>
        <v>173</v>
      </c>
      <c r="B150">
        <v>42253831</v>
      </c>
      <c r="C150">
        <v>42263685</v>
      </c>
      <c r="D150">
        <v>36807113</v>
      </c>
      <c r="E150">
        <v>1</v>
      </c>
      <c r="F150">
        <v>1</v>
      </c>
      <c r="G150">
        <v>1</v>
      </c>
      <c r="H150">
        <v>3</v>
      </c>
      <c r="I150" t="s">
        <v>192</v>
      </c>
      <c r="J150" t="s">
        <v>194</v>
      </c>
      <c r="K150" t="s">
        <v>193</v>
      </c>
      <c r="L150">
        <v>1339</v>
      </c>
      <c r="N150">
        <v>1007</v>
      </c>
      <c r="O150" t="s">
        <v>140</v>
      </c>
      <c r="P150" t="s">
        <v>140</v>
      </c>
      <c r="Q150">
        <v>1</v>
      </c>
      <c r="W150">
        <v>0</v>
      </c>
      <c r="X150">
        <v>-481738122</v>
      </c>
      <c r="Y150">
        <v>102</v>
      </c>
      <c r="AA150">
        <v>3763.9</v>
      </c>
      <c r="AB150">
        <v>0</v>
      </c>
      <c r="AC150">
        <v>0</v>
      </c>
      <c r="AD150">
        <v>0</v>
      </c>
      <c r="AE150">
        <v>665</v>
      </c>
      <c r="AF150">
        <v>0</v>
      </c>
      <c r="AG150">
        <v>0</v>
      </c>
      <c r="AH150">
        <v>0</v>
      </c>
      <c r="AI150">
        <v>5.66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T150">
        <v>102</v>
      </c>
      <c r="AV150">
        <v>0</v>
      </c>
      <c r="AW150">
        <v>1</v>
      </c>
      <c r="AX150">
        <v>-1</v>
      </c>
      <c r="AY150">
        <v>0</v>
      </c>
      <c r="AZ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Y150*Source!I173</f>
        <v>3.06</v>
      </c>
      <c r="CY150">
        <f>AA150</f>
        <v>3763.9</v>
      </c>
      <c r="CZ150">
        <f>AE150</f>
        <v>665</v>
      </c>
      <c r="DA150">
        <f>AI150</f>
        <v>5.66</v>
      </c>
      <c r="DB150">
        <v>0</v>
      </c>
    </row>
    <row r="151" spans="1:106" ht="12.75">
      <c r="A151">
        <f>ROW(Source!A176)</f>
        <v>176</v>
      </c>
      <c r="B151">
        <v>42253831</v>
      </c>
      <c r="C151">
        <v>42263711</v>
      </c>
      <c r="D151">
        <v>37066491</v>
      </c>
      <c r="E151">
        <v>1</v>
      </c>
      <c r="F151">
        <v>1</v>
      </c>
      <c r="G151">
        <v>1</v>
      </c>
      <c r="H151">
        <v>1</v>
      </c>
      <c r="I151" t="s">
        <v>526</v>
      </c>
      <c r="K151" t="s">
        <v>527</v>
      </c>
      <c r="L151">
        <v>1191</v>
      </c>
      <c r="N151">
        <v>1013</v>
      </c>
      <c r="O151" t="s">
        <v>462</v>
      </c>
      <c r="P151" t="s">
        <v>462</v>
      </c>
      <c r="Q151">
        <v>1</v>
      </c>
      <c r="W151">
        <v>0</v>
      </c>
      <c r="X151">
        <v>-228054128</v>
      </c>
      <c r="Y151">
        <v>15.72</v>
      </c>
      <c r="AA151">
        <v>0</v>
      </c>
      <c r="AB151">
        <v>0</v>
      </c>
      <c r="AC151">
        <v>0</v>
      </c>
      <c r="AD151">
        <v>160.08</v>
      </c>
      <c r="AE151">
        <v>0</v>
      </c>
      <c r="AF151">
        <v>0</v>
      </c>
      <c r="AG151">
        <v>0</v>
      </c>
      <c r="AH151">
        <v>8.02</v>
      </c>
      <c r="AI151">
        <v>1</v>
      </c>
      <c r="AJ151">
        <v>1</v>
      </c>
      <c r="AK151">
        <v>1</v>
      </c>
      <c r="AL151">
        <v>19.96</v>
      </c>
      <c r="AN151">
        <v>0</v>
      </c>
      <c r="AO151">
        <v>1</v>
      </c>
      <c r="AP151">
        <v>0</v>
      </c>
      <c r="AQ151">
        <v>0</v>
      </c>
      <c r="AR151">
        <v>0</v>
      </c>
      <c r="AT151">
        <v>15.72</v>
      </c>
      <c r="AV151">
        <v>1</v>
      </c>
      <c r="AW151">
        <v>2</v>
      </c>
      <c r="AX151">
        <v>42263720</v>
      </c>
      <c r="AY151">
        <v>1</v>
      </c>
      <c r="AZ151">
        <v>0</v>
      </c>
      <c r="BA151">
        <v>153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Y151*Source!I176</f>
        <v>0.4716</v>
      </c>
      <c r="CY151">
        <f>AD151</f>
        <v>160.08</v>
      </c>
      <c r="CZ151">
        <f>AH151</f>
        <v>8.02</v>
      </c>
      <c r="DA151">
        <f>AL151</f>
        <v>19.96</v>
      </c>
      <c r="DB151">
        <v>0</v>
      </c>
    </row>
    <row r="152" spans="1:106" ht="12.75">
      <c r="A152">
        <f>ROW(Source!A176)</f>
        <v>176</v>
      </c>
      <c r="B152">
        <v>42253831</v>
      </c>
      <c r="C152">
        <v>42263711</v>
      </c>
      <c r="D152">
        <v>37064876</v>
      </c>
      <c r="E152">
        <v>1</v>
      </c>
      <c r="F152">
        <v>1</v>
      </c>
      <c r="G152">
        <v>1</v>
      </c>
      <c r="H152">
        <v>1</v>
      </c>
      <c r="I152" t="s">
        <v>465</v>
      </c>
      <c r="K152" t="s">
        <v>466</v>
      </c>
      <c r="L152">
        <v>1191</v>
      </c>
      <c r="N152">
        <v>1013</v>
      </c>
      <c r="O152" t="s">
        <v>462</v>
      </c>
      <c r="P152" t="s">
        <v>462</v>
      </c>
      <c r="Q152">
        <v>1</v>
      </c>
      <c r="W152">
        <v>0</v>
      </c>
      <c r="X152">
        <v>-1417349443</v>
      </c>
      <c r="Y152">
        <v>13.88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19.96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T152">
        <v>13.88</v>
      </c>
      <c r="AV152">
        <v>2</v>
      </c>
      <c r="AW152">
        <v>2</v>
      </c>
      <c r="AX152">
        <v>42263721</v>
      </c>
      <c r="AY152">
        <v>1</v>
      </c>
      <c r="AZ152">
        <v>0</v>
      </c>
      <c r="BA152">
        <v>154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Y152*Source!I176</f>
        <v>0.4164</v>
      </c>
      <c r="CY152">
        <f>AD152</f>
        <v>0</v>
      </c>
      <c r="CZ152">
        <f>AH152</f>
        <v>0</v>
      </c>
      <c r="DA152">
        <f>AL152</f>
        <v>1</v>
      </c>
      <c r="DB152">
        <v>0</v>
      </c>
    </row>
    <row r="153" spans="1:106" ht="12.75">
      <c r="A153">
        <f>ROW(Source!A176)</f>
        <v>176</v>
      </c>
      <c r="B153">
        <v>42253831</v>
      </c>
      <c r="C153">
        <v>42263711</v>
      </c>
      <c r="D153">
        <v>36881380</v>
      </c>
      <c r="E153">
        <v>1</v>
      </c>
      <c r="F153">
        <v>1</v>
      </c>
      <c r="G153">
        <v>1</v>
      </c>
      <c r="H153">
        <v>2</v>
      </c>
      <c r="I153" t="s">
        <v>528</v>
      </c>
      <c r="J153" t="s">
        <v>529</v>
      </c>
      <c r="K153" t="s">
        <v>530</v>
      </c>
      <c r="L153">
        <v>1368</v>
      </c>
      <c r="N153">
        <v>1011</v>
      </c>
      <c r="O153" t="s">
        <v>470</v>
      </c>
      <c r="P153" t="s">
        <v>470</v>
      </c>
      <c r="Q153">
        <v>1</v>
      </c>
      <c r="W153">
        <v>0</v>
      </c>
      <c r="X153">
        <v>645023554</v>
      </c>
      <c r="Y153">
        <v>1.77</v>
      </c>
      <c r="AA153">
        <v>0</v>
      </c>
      <c r="AB153">
        <v>874.53</v>
      </c>
      <c r="AC153">
        <v>269.46</v>
      </c>
      <c r="AD153">
        <v>0</v>
      </c>
      <c r="AE153">
        <v>0</v>
      </c>
      <c r="AF153">
        <v>123</v>
      </c>
      <c r="AG153">
        <v>13.5</v>
      </c>
      <c r="AH153">
        <v>0</v>
      </c>
      <c r="AI153">
        <v>1</v>
      </c>
      <c r="AJ153">
        <v>7.11</v>
      </c>
      <c r="AK153">
        <v>19.96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T153">
        <v>1.77</v>
      </c>
      <c r="AV153">
        <v>0</v>
      </c>
      <c r="AW153">
        <v>2</v>
      </c>
      <c r="AX153">
        <v>42263722</v>
      </c>
      <c r="AY153">
        <v>1</v>
      </c>
      <c r="AZ153">
        <v>0</v>
      </c>
      <c r="BA153">
        <v>155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Y153*Source!I176</f>
        <v>0.0531</v>
      </c>
      <c r="CY153">
        <f>AB153</f>
        <v>874.53</v>
      </c>
      <c r="CZ153">
        <f>AF153</f>
        <v>123</v>
      </c>
      <c r="DA153">
        <f>AJ153</f>
        <v>7.11</v>
      </c>
      <c r="DB153">
        <v>0</v>
      </c>
    </row>
    <row r="154" spans="1:106" ht="12.75">
      <c r="A154">
        <f>ROW(Source!A176)</f>
        <v>176</v>
      </c>
      <c r="B154">
        <v>42253831</v>
      </c>
      <c r="C154">
        <v>42263711</v>
      </c>
      <c r="D154">
        <v>36882383</v>
      </c>
      <c r="E154">
        <v>1</v>
      </c>
      <c r="F154">
        <v>1</v>
      </c>
      <c r="G154">
        <v>1</v>
      </c>
      <c r="H154">
        <v>2</v>
      </c>
      <c r="I154" t="s">
        <v>531</v>
      </c>
      <c r="J154" t="s">
        <v>532</v>
      </c>
      <c r="K154" t="s">
        <v>533</v>
      </c>
      <c r="L154">
        <v>1368</v>
      </c>
      <c r="N154">
        <v>1011</v>
      </c>
      <c r="O154" t="s">
        <v>470</v>
      </c>
      <c r="P154" t="s">
        <v>470</v>
      </c>
      <c r="Q154">
        <v>1</v>
      </c>
      <c r="W154">
        <v>0</v>
      </c>
      <c r="X154">
        <v>1225731627</v>
      </c>
      <c r="Y154">
        <v>4.29</v>
      </c>
      <c r="AA154">
        <v>0</v>
      </c>
      <c r="AB154">
        <v>639.83</v>
      </c>
      <c r="AC154">
        <v>200.8</v>
      </c>
      <c r="AD154">
        <v>0</v>
      </c>
      <c r="AE154">
        <v>0</v>
      </c>
      <c r="AF154">
        <v>89.99</v>
      </c>
      <c r="AG154">
        <v>10.06</v>
      </c>
      <c r="AH154">
        <v>0</v>
      </c>
      <c r="AI154">
        <v>1</v>
      </c>
      <c r="AJ154">
        <v>7.11</v>
      </c>
      <c r="AK154">
        <v>19.96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T154">
        <v>4.29</v>
      </c>
      <c r="AV154">
        <v>0</v>
      </c>
      <c r="AW154">
        <v>2</v>
      </c>
      <c r="AX154">
        <v>42263723</v>
      </c>
      <c r="AY154">
        <v>1</v>
      </c>
      <c r="AZ154">
        <v>0</v>
      </c>
      <c r="BA154">
        <v>156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Y154*Source!I176</f>
        <v>0.1287</v>
      </c>
      <c r="CY154">
        <f>AB154</f>
        <v>639.83</v>
      </c>
      <c r="CZ154">
        <f>AF154</f>
        <v>89.99</v>
      </c>
      <c r="DA154">
        <f>AJ154</f>
        <v>7.11</v>
      </c>
      <c r="DB154">
        <v>0</v>
      </c>
    </row>
    <row r="155" spans="1:106" ht="12.75">
      <c r="A155">
        <f>ROW(Source!A176)</f>
        <v>176</v>
      </c>
      <c r="B155">
        <v>42253831</v>
      </c>
      <c r="C155">
        <v>42263711</v>
      </c>
      <c r="D155">
        <v>36882750</v>
      </c>
      <c r="E155">
        <v>1</v>
      </c>
      <c r="F155">
        <v>1</v>
      </c>
      <c r="G155">
        <v>1</v>
      </c>
      <c r="H155">
        <v>2</v>
      </c>
      <c r="I155" t="s">
        <v>534</v>
      </c>
      <c r="J155" t="s">
        <v>535</v>
      </c>
      <c r="K155" t="s">
        <v>536</v>
      </c>
      <c r="L155">
        <v>1368</v>
      </c>
      <c r="N155">
        <v>1011</v>
      </c>
      <c r="O155" t="s">
        <v>470</v>
      </c>
      <c r="P155" t="s">
        <v>470</v>
      </c>
      <c r="Q155">
        <v>1</v>
      </c>
      <c r="W155">
        <v>0</v>
      </c>
      <c r="X155">
        <v>1663826256</v>
      </c>
      <c r="Y155">
        <v>7.08</v>
      </c>
      <c r="AA155">
        <v>0</v>
      </c>
      <c r="AB155">
        <v>1464.73</v>
      </c>
      <c r="AC155">
        <v>287.42</v>
      </c>
      <c r="AD155">
        <v>0</v>
      </c>
      <c r="AE155">
        <v>0</v>
      </c>
      <c r="AF155">
        <v>206.01</v>
      </c>
      <c r="AG155">
        <v>14.4</v>
      </c>
      <c r="AH155">
        <v>0</v>
      </c>
      <c r="AI155">
        <v>1</v>
      </c>
      <c r="AJ155">
        <v>7.11</v>
      </c>
      <c r="AK155">
        <v>19.96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T155">
        <v>7.08</v>
      </c>
      <c r="AV155">
        <v>0</v>
      </c>
      <c r="AW155">
        <v>2</v>
      </c>
      <c r="AX155">
        <v>42263724</v>
      </c>
      <c r="AY155">
        <v>1</v>
      </c>
      <c r="AZ155">
        <v>0</v>
      </c>
      <c r="BA155">
        <v>157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Y155*Source!I176</f>
        <v>0.2124</v>
      </c>
      <c r="CY155">
        <f>AB155</f>
        <v>1464.73</v>
      </c>
      <c r="CZ155">
        <f>AF155</f>
        <v>206.01</v>
      </c>
      <c r="DA155">
        <f>AJ155</f>
        <v>7.11</v>
      </c>
      <c r="DB155">
        <v>0</v>
      </c>
    </row>
    <row r="156" spans="1:106" ht="12.75">
      <c r="A156">
        <f>ROW(Source!A176)</f>
        <v>176</v>
      </c>
      <c r="B156">
        <v>42253831</v>
      </c>
      <c r="C156">
        <v>42263711</v>
      </c>
      <c r="D156">
        <v>36883483</v>
      </c>
      <c r="E156">
        <v>1</v>
      </c>
      <c r="F156">
        <v>1</v>
      </c>
      <c r="G156">
        <v>1</v>
      </c>
      <c r="H156">
        <v>2</v>
      </c>
      <c r="I156" t="s">
        <v>537</v>
      </c>
      <c r="J156" t="s">
        <v>538</v>
      </c>
      <c r="K156" t="s">
        <v>539</v>
      </c>
      <c r="L156">
        <v>1368</v>
      </c>
      <c r="N156">
        <v>1011</v>
      </c>
      <c r="O156" t="s">
        <v>470</v>
      </c>
      <c r="P156" t="s">
        <v>470</v>
      </c>
      <c r="Q156">
        <v>1</v>
      </c>
      <c r="W156">
        <v>0</v>
      </c>
      <c r="X156">
        <v>529073949</v>
      </c>
      <c r="Y156">
        <v>0.74</v>
      </c>
      <c r="AA156">
        <v>0</v>
      </c>
      <c r="AB156">
        <v>782.1</v>
      </c>
      <c r="AC156">
        <v>231.54</v>
      </c>
      <c r="AD156">
        <v>0</v>
      </c>
      <c r="AE156">
        <v>0</v>
      </c>
      <c r="AF156">
        <v>110</v>
      </c>
      <c r="AG156">
        <v>11.6</v>
      </c>
      <c r="AH156">
        <v>0</v>
      </c>
      <c r="AI156">
        <v>1</v>
      </c>
      <c r="AJ156">
        <v>7.11</v>
      </c>
      <c r="AK156">
        <v>19.96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T156">
        <v>0.74</v>
      </c>
      <c r="AV156">
        <v>0</v>
      </c>
      <c r="AW156">
        <v>2</v>
      </c>
      <c r="AX156">
        <v>42263725</v>
      </c>
      <c r="AY156">
        <v>1</v>
      </c>
      <c r="AZ156">
        <v>0</v>
      </c>
      <c r="BA156">
        <v>158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Y156*Source!I176</f>
        <v>0.022199999999999998</v>
      </c>
      <c r="CY156">
        <f>AB156</f>
        <v>782.1</v>
      </c>
      <c r="CZ156">
        <f>AF156</f>
        <v>110</v>
      </c>
      <c r="DA156">
        <f>AJ156</f>
        <v>7.11</v>
      </c>
      <c r="DB156">
        <v>0</v>
      </c>
    </row>
    <row r="157" spans="1:106" ht="12.75">
      <c r="A157">
        <f>ROW(Source!A176)</f>
        <v>176</v>
      </c>
      <c r="B157">
        <v>42253831</v>
      </c>
      <c r="C157">
        <v>42263711</v>
      </c>
      <c r="D157">
        <v>36801792</v>
      </c>
      <c r="E157">
        <v>1</v>
      </c>
      <c r="F157">
        <v>1</v>
      </c>
      <c r="G157">
        <v>1</v>
      </c>
      <c r="H157">
        <v>3</v>
      </c>
      <c r="I157" t="s">
        <v>540</v>
      </c>
      <c r="J157" t="s">
        <v>541</v>
      </c>
      <c r="K157" t="s">
        <v>542</v>
      </c>
      <c r="L157">
        <v>1339</v>
      </c>
      <c r="N157">
        <v>1007</v>
      </c>
      <c r="O157" t="s">
        <v>140</v>
      </c>
      <c r="P157" t="s">
        <v>140</v>
      </c>
      <c r="Q157">
        <v>1</v>
      </c>
      <c r="W157">
        <v>0</v>
      </c>
      <c r="X157">
        <v>-1660354250</v>
      </c>
      <c r="Y157">
        <v>5</v>
      </c>
      <c r="AA157">
        <v>13.81</v>
      </c>
      <c r="AB157">
        <v>0</v>
      </c>
      <c r="AC157">
        <v>0</v>
      </c>
      <c r="AD157">
        <v>0</v>
      </c>
      <c r="AE157">
        <v>2.44</v>
      </c>
      <c r="AF157">
        <v>0</v>
      </c>
      <c r="AG157">
        <v>0</v>
      </c>
      <c r="AH157">
        <v>0</v>
      </c>
      <c r="AI157">
        <v>5.66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T157">
        <v>5</v>
      </c>
      <c r="AV157">
        <v>0</v>
      </c>
      <c r="AW157">
        <v>2</v>
      </c>
      <c r="AX157">
        <v>42263726</v>
      </c>
      <c r="AY157">
        <v>1</v>
      </c>
      <c r="AZ157">
        <v>0</v>
      </c>
      <c r="BA157">
        <v>159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Y157*Source!I176</f>
        <v>0.15</v>
      </c>
      <c r="CY157">
        <f>AA157</f>
        <v>13.81</v>
      </c>
      <c r="CZ157">
        <f>AE157</f>
        <v>2.44</v>
      </c>
      <c r="DA157">
        <f>AI157</f>
        <v>5.66</v>
      </c>
      <c r="DB157">
        <v>0</v>
      </c>
    </row>
    <row r="158" spans="1:106" ht="12.75">
      <c r="A158">
        <f>ROW(Source!A176)</f>
        <v>176</v>
      </c>
      <c r="B158">
        <v>42253831</v>
      </c>
      <c r="C158">
        <v>42263711</v>
      </c>
      <c r="D158">
        <v>36806289</v>
      </c>
      <c r="E158">
        <v>1</v>
      </c>
      <c r="F158">
        <v>1</v>
      </c>
      <c r="G158">
        <v>1</v>
      </c>
      <c r="H158">
        <v>3</v>
      </c>
      <c r="I158" t="s">
        <v>138</v>
      </c>
      <c r="J158" t="s">
        <v>141</v>
      </c>
      <c r="K158" t="s">
        <v>139</v>
      </c>
      <c r="L158">
        <v>1339</v>
      </c>
      <c r="N158">
        <v>1007</v>
      </c>
      <c r="O158" t="s">
        <v>140</v>
      </c>
      <c r="P158" t="s">
        <v>140</v>
      </c>
      <c r="Q158">
        <v>1</v>
      </c>
      <c r="W158">
        <v>0</v>
      </c>
      <c r="X158">
        <v>-35545874</v>
      </c>
      <c r="Y158">
        <v>100</v>
      </c>
      <c r="AA158">
        <v>312.77</v>
      </c>
      <c r="AB158">
        <v>0</v>
      </c>
      <c r="AC158">
        <v>0</v>
      </c>
      <c r="AD158">
        <v>0</v>
      </c>
      <c r="AE158">
        <v>55.26</v>
      </c>
      <c r="AF158">
        <v>0</v>
      </c>
      <c r="AG158">
        <v>0</v>
      </c>
      <c r="AH158">
        <v>0</v>
      </c>
      <c r="AI158">
        <v>5.66</v>
      </c>
      <c r="AJ158">
        <v>1</v>
      </c>
      <c r="AK158">
        <v>1</v>
      </c>
      <c r="AL158">
        <v>1</v>
      </c>
      <c r="AN158">
        <v>0</v>
      </c>
      <c r="AO158">
        <v>0</v>
      </c>
      <c r="AP158">
        <v>0</v>
      </c>
      <c r="AQ158">
        <v>0</v>
      </c>
      <c r="AR158">
        <v>0</v>
      </c>
      <c r="AT158">
        <v>100</v>
      </c>
      <c r="AV158">
        <v>0</v>
      </c>
      <c r="AW158">
        <v>1</v>
      </c>
      <c r="AX158">
        <v>-1</v>
      </c>
      <c r="AY158">
        <v>0</v>
      </c>
      <c r="AZ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Y158*Source!I176</f>
        <v>3</v>
      </c>
      <c r="CY158">
        <f>AA158</f>
        <v>312.77</v>
      </c>
      <c r="CZ158">
        <f>AE158</f>
        <v>55.26</v>
      </c>
      <c r="DA158">
        <f>AI158</f>
        <v>5.66</v>
      </c>
      <c r="DB158">
        <v>0</v>
      </c>
    </row>
    <row r="159" spans="1:106" ht="12.75">
      <c r="A159">
        <f>ROW(Source!A178)</f>
        <v>178</v>
      </c>
      <c r="B159">
        <v>42253831</v>
      </c>
      <c r="C159">
        <v>42263729</v>
      </c>
      <c r="D159">
        <v>37068148</v>
      </c>
      <c r="E159">
        <v>1</v>
      </c>
      <c r="F159">
        <v>1</v>
      </c>
      <c r="G159">
        <v>1</v>
      </c>
      <c r="H159">
        <v>1</v>
      </c>
      <c r="I159" t="s">
        <v>561</v>
      </c>
      <c r="K159" t="s">
        <v>562</v>
      </c>
      <c r="L159">
        <v>1191</v>
      </c>
      <c r="N159">
        <v>1013</v>
      </c>
      <c r="O159" t="s">
        <v>462</v>
      </c>
      <c r="P159" t="s">
        <v>462</v>
      </c>
      <c r="Q159">
        <v>1</v>
      </c>
      <c r="W159">
        <v>0</v>
      </c>
      <c r="X159">
        <v>371339561</v>
      </c>
      <c r="Y159">
        <v>24.19</v>
      </c>
      <c r="AA159">
        <v>0</v>
      </c>
      <c r="AB159">
        <v>0</v>
      </c>
      <c r="AC159">
        <v>0</v>
      </c>
      <c r="AD159">
        <v>161.48</v>
      </c>
      <c r="AE159">
        <v>0</v>
      </c>
      <c r="AF159">
        <v>0</v>
      </c>
      <c r="AG159">
        <v>0</v>
      </c>
      <c r="AH159">
        <v>8.09</v>
      </c>
      <c r="AI159">
        <v>1</v>
      </c>
      <c r="AJ159">
        <v>1</v>
      </c>
      <c r="AK159">
        <v>1</v>
      </c>
      <c r="AL159">
        <v>19.96</v>
      </c>
      <c r="AN159">
        <v>0</v>
      </c>
      <c r="AO159">
        <v>1</v>
      </c>
      <c r="AP159">
        <v>0</v>
      </c>
      <c r="AQ159">
        <v>0</v>
      </c>
      <c r="AR159">
        <v>0</v>
      </c>
      <c r="AT159">
        <v>24.19</v>
      </c>
      <c r="AV159">
        <v>1</v>
      </c>
      <c r="AW159">
        <v>2</v>
      </c>
      <c r="AX159">
        <v>42263766</v>
      </c>
      <c r="AY159">
        <v>1</v>
      </c>
      <c r="AZ159">
        <v>0</v>
      </c>
      <c r="BA159">
        <v>161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Y159*Source!I178</f>
        <v>0.7257</v>
      </c>
      <c r="CY159">
        <f>AD159</f>
        <v>161.48</v>
      </c>
      <c r="CZ159">
        <f>AH159</f>
        <v>8.09</v>
      </c>
      <c r="DA159">
        <f>AL159</f>
        <v>19.96</v>
      </c>
      <c r="DB159">
        <v>0</v>
      </c>
    </row>
    <row r="160" spans="1:106" ht="12.75">
      <c r="A160">
        <f>ROW(Source!A178)</f>
        <v>178</v>
      </c>
      <c r="B160">
        <v>42253831</v>
      </c>
      <c r="C160">
        <v>42263729</v>
      </c>
      <c r="D160">
        <v>37064876</v>
      </c>
      <c r="E160">
        <v>1</v>
      </c>
      <c r="F160">
        <v>1</v>
      </c>
      <c r="G160">
        <v>1</v>
      </c>
      <c r="H160">
        <v>1</v>
      </c>
      <c r="I160" t="s">
        <v>465</v>
      </c>
      <c r="K160" t="s">
        <v>466</v>
      </c>
      <c r="L160">
        <v>1191</v>
      </c>
      <c r="N160">
        <v>1013</v>
      </c>
      <c r="O160" t="s">
        <v>462</v>
      </c>
      <c r="P160" t="s">
        <v>462</v>
      </c>
      <c r="Q160">
        <v>1</v>
      </c>
      <c r="W160">
        <v>0</v>
      </c>
      <c r="X160">
        <v>-1417349443</v>
      </c>
      <c r="Y160">
        <v>20.6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19.96</v>
      </c>
      <c r="AL160">
        <v>1</v>
      </c>
      <c r="AN160">
        <v>0</v>
      </c>
      <c r="AO160">
        <v>1</v>
      </c>
      <c r="AP160">
        <v>0</v>
      </c>
      <c r="AQ160">
        <v>0</v>
      </c>
      <c r="AR160">
        <v>0</v>
      </c>
      <c r="AT160">
        <v>20.6</v>
      </c>
      <c r="AV160">
        <v>2</v>
      </c>
      <c r="AW160">
        <v>2</v>
      </c>
      <c r="AX160">
        <v>42263767</v>
      </c>
      <c r="AY160">
        <v>1</v>
      </c>
      <c r="AZ160">
        <v>0</v>
      </c>
      <c r="BA160">
        <v>162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Y160*Source!I178</f>
        <v>0.618</v>
      </c>
      <c r="CY160">
        <f>AD160</f>
        <v>0</v>
      </c>
      <c r="CZ160">
        <f>AH160</f>
        <v>0</v>
      </c>
      <c r="DA160">
        <f>AL160</f>
        <v>1</v>
      </c>
      <c r="DB160">
        <v>0</v>
      </c>
    </row>
    <row r="161" spans="1:106" ht="12.75">
      <c r="A161">
        <f>ROW(Source!A178)</f>
        <v>178</v>
      </c>
      <c r="B161">
        <v>42253831</v>
      </c>
      <c r="C161">
        <v>42263729</v>
      </c>
      <c r="D161">
        <v>36881356</v>
      </c>
      <c r="E161">
        <v>1</v>
      </c>
      <c r="F161">
        <v>1</v>
      </c>
      <c r="G161">
        <v>1</v>
      </c>
      <c r="H161">
        <v>2</v>
      </c>
      <c r="I161" t="s">
        <v>467</v>
      </c>
      <c r="J161" t="s">
        <v>468</v>
      </c>
      <c r="K161" t="s">
        <v>469</v>
      </c>
      <c r="L161">
        <v>1368</v>
      </c>
      <c r="N161">
        <v>1011</v>
      </c>
      <c r="O161" t="s">
        <v>470</v>
      </c>
      <c r="P161" t="s">
        <v>470</v>
      </c>
      <c r="Q161">
        <v>1</v>
      </c>
      <c r="W161">
        <v>0</v>
      </c>
      <c r="X161">
        <v>-1071764843</v>
      </c>
      <c r="Y161">
        <v>2.59</v>
      </c>
      <c r="AA161">
        <v>0</v>
      </c>
      <c r="AB161">
        <v>562.19</v>
      </c>
      <c r="AC161">
        <v>269.46</v>
      </c>
      <c r="AD161">
        <v>0</v>
      </c>
      <c r="AE161">
        <v>0</v>
      </c>
      <c r="AF161">
        <v>79.07</v>
      </c>
      <c r="AG161">
        <v>13.5</v>
      </c>
      <c r="AH161">
        <v>0</v>
      </c>
      <c r="AI161">
        <v>1</v>
      </c>
      <c r="AJ161">
        <v>7.11</v>
      </c>
      <c r="AK161">
        <v>19.96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T161">
        <v>2.59</v>
      </c>
      <c r="AV161">
        <v>0</v>
      </c>
      <c r="AW161">
        <v>2</v>
      </c>
      <c r="AX161">
        <v>42263768</v>
      </c>
      <c r="AY161">
        <v>1</v>
      </c>
      <c r="AZ161">
        <v>0</v>
      </c>
      <c r="BA161">
        <v>163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Y161*Source!I178</f>
        <v>0.07769999999999999</v>
      </c>
      <c r="CY161">
        <f>AB161</f>
        <v>562.19</v>
      </c>
      <c r="CZ161">
        <f>AF161</f>
        <v>79.07</v>
      </c>
      <c r="DA161">
        <f>AJ161</f>
        <v>7.11</v>
      </c>
      <c r="DB161">
        <v>0</v>
      </c>
    </row>
    <row r="162" spans="1:106" ht="12.75">
      <c r="A162">
        <f>ROW(Source!A178)</f>
        <v>178</v>
      </c>
      <c r="B162">
        <v>42253831</v>
      </c>
      <c r="C162">
        <v>42263729</v>
      </c>
      <c r="D162">
        <v>36881380</v>
      </c>
      <c r="E162">
        <v>1</v>
      </c>
      <c r="F162">
        <v>1</v>
      </c>
      <c r="G162">
        <v>1</v>
      </c>
      <c r="H162">
        <v>2</v>
      </c>
      <c r="I162" t="s">
        <v>528</v>
      </c>
      <c r="J162" t="s">
        <v>529</v>
      </c>
      <c r="K162" t="s">
        <v>530</v>
      </c>
      <c r="L162">
        <v>1368</v>
      </c>
      <c r="N162">
        <v>1011</v>
      </c>
      <c r="O162" t="s">
        <v>470</v>
      </c>
      <c r="P162" t="s">
        <v>470</v>
      </c>
      <c r="Q162">
        <v>1</v>
      </c>
      <c r="W162">
        <v>0</v>
      </c>
      <c r="X162">
        <v>645023554</v>
      </c>
      <c r="Y162">
        <v>2.3</v>
      </c>
      <c r="AA162">
        <v>0</v>
      </c>
      <c r="AB162">
        <v>874.53</v>
      </c>
      <c r="AC162">
        <v>269.46</v>
      </c>
      <c r="AD162">
        <v>0</v>
      </c>
      <c r="AE162">
        <v>0</v>
      </c>
      <c r="AF162">
        <v>123</v>
      </c>
      <c r="AG162">
        <v>13.5</v>
      </c>
      <c r="AH162">
        <v>0</v>
      </c>
      <c r="AI162">
        <v>1</v>
      </c>
      <c r="AJ162">
        <v>7.11</v>
      </c>
      <c r="AK162">
        <v>19.96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T162">
        <v>2.3</v>
      </c>
      <c r="AV162">
        <v>0</v>
      </c>
      <c r="AW162">
        <v>2</v>
      </c>
      <c r="AX162">
        <v>42263769</v>
      </c>
      <c r="AY162">
        <v>1</v>
      </c>
      <c r="AZ162">
        <v>0</v>
      </c>
      <c r="BA162">
        <v>164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Y162*Source!I178</f>
        <v>0.06899999999999999</v>
      </c>
      <c r="CY162">
        <f>AB162</f>
        <v>874.53</v>
      </c>
      <c r="CZ162">
        <f>AF162</f>
        <v>123</v>
      </c>
      <c r="DA162">
        <f>AJ162</f>
        <v>7.11</v>
      </c>
      <c r="DB162">
        <v>0</v>
      </c>
    </row>
    <row r="163" spans="1:106" ht="12.75">
      <c r="A163">
        <f>ROW(Source!A178)</f>
        <v>178</v>
      </c>
      <c r="B163">
        <v>42253831</v>
      </c>
      <c r="C163">
        <v>42263729</v>
      </c>
      <c r="D163">
        <v>36882383</v>
      </c>
      <c r="E163">
        <v>1</v>
      </c>
      <c r="F163">
        <v>1</v>
      </c>
      <c r="G163">
        <v>1</v>
      </c>
      <c r="H163">
        <v>2</v>
      </c>
      <c r="I163" t="s">
        <v>531</v>
      </c>
      <c r="J163" t="s">
        <v>532</v>
      </c>
      <c r="K163" t="s">
        <v>533</v>
      </c>
      <c r="L163">
        <v>1368</v>
      </c>
      <c r="N163">
        <v>1011</v>
      </c>
      <c r="O163" t="s">
        <v>470</v>
      </c>
      <c r="P163" t="s">
        <v>470</v>
      </c>
      <c r="Q163">
        <v>1</v>
      </c>
      <c r="W163">
        <v>0</v>
      </c>
      <c r="X163">
        <v>1225731627</v>
      </c>
      <c r="Y163">
        <v>2.46</v>
      </c>
      <c r="AA163">
        <v>0</v>
      </c>
      <c r="AB163">
        <v>639.83</v>
      </c>
      <c r="AC163">
        <v>200.8</v>
      </c>
      <c r="AD163">
        <v>0</v>
      </c>
      <c r="AE163">
        <v>0</v>
      </c>
      <c r="AF163">
        <v>89.99</v>
      </c>
      <c r="AG163">
        <v>10.06</v>
      </c>
      <c r="AH163">
        <v>0</v>
      </c>
      <c r="AI163">
        <v>1</v>
      </c>
      <c r="AJ163">
        <v>7.11</v>
      </c>
      <c r="AK163">
        <v>19.96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T163">
        <v>2.46</v>
      </c>
      <c r="AV163">
        <v>0</v>
      </c>
      <c r="AW163">
        <v>2</v>
      </c>
      <c r="AX163">
        <v>42263770</v>
      </c>
      <c r="AY163">
        <v>1</v>
      </c>
      <c r="AZ163">
        <v>0</v>
      </c>
      <c r="BA163">
        <v>165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Y163*Source!I178</f>
        <v>0.07379999999999999</v>
      </c>
      <c r="CY163">
        <f>AB163</f>
        <v>639.83</v>
      </c>
      <c r="CZ163">
        <f>AF163</f>
        <v>89.99</v>
      </c>
      <c r="DA163">
        <f>AJ163</f>
        <v>7.11</v>
      </c>
      <c r="DB163">
        <v>0</v>
      </c>
    </row>
    <row r="164" spans="1:106" ht="12.75">
      <c r="A164">
        <f>ROW(Source!A178)</f>
        <v>178</v>
      </c>
      <c r="B164">
        <v>42253831</v>
      </c>
      <c r="C164">
        <v>42263729</v>
      </c>
      <c r="D164">
        <v>36882750</v>
      </c>
      <c r="E164">
        <v>1</v>
      </c>
      <c r="F164">
        <v>1</v>
      </c>
      <c r="G164">
        <v>1</v>
      </c>
      <c r="H164">
        <v>2</v>
      </c>
      <c r="I164" t="s">
        <v>534</v>
      </c>
      <c r="J164" t="s">
        <v>535</v>
      </c>
      <c r="K164" t="s">
        <v>536</v>
      </c>
      <c r="L164">
        <v>1368</v>
      </c>
      <c r="N164">
        <v>1011</v>
      </c>
      <c r="O164" t="s">
        <v>470</v>
      </c>
      <c r="P164" t="s">
        <v>470</v>
      </c>
      <c r="Q164">
        <v>1</v>
      </c>
      <c r="W164">
        <v>0</v>
      </c>
      <c r="X164">
        <v>1663826256</v>
      </c>
      <c r="Y164">
        <v>12.21</v>
      </c>
      <c r="AA164">
        <v>0</v>
      </c>
      <c r="AB164">
        <v>1464.73</v>
      </c>
      <c r="AC164">
        <v>287.42</v>
      </c>
      <c r="AD164">
        <v>0</v>
      </c>
      <c r="AE164">
        <v>0</v>
      </c>
      <c r="AF164">
        <v>206.01</v>
      </c>
      <c r="AG164">
        <v>14.4</v>
      </c>
      <c r="AH164">
        <v>0</v>
      </c>
      <c r="AI164">
        <v>1</v>
      </c>
      <c r="AJ164">
        <v>7.11</v>
      </c>
      <c r="AK164">
        <v>19.96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T164">
        <v>12.21</v>
      </c>
      <c r="AV164">
        <v>0</v>
      </c>
      <c r="AW164">
        <v>2</v>
      </c>
      <c r="AX164">
        <v>42263771</v>
      </c>
      <c r="AY164">
        <v>1</v>
      </c>
      <c r="AZ164">
        <v>0</v>
      </c>
      <c r="BA164">
        <v>166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Y164*Source!I178</f>
        <v>0.3663</v>
      </c>
      <c r="CY164">
        <f>AB164</f>
        <v>1464.73</v>
      </c>
      <c r="CZ164">
        <f>AF164</f>
        <v>206.01</v>
      </c>
      <c r="DA164">
        <f>AJ164</f>
        <v>7.11</v>
      </c>
      <c r="DB164">
        <v>0</v>
      </c>
    </row>
    <row r="165" spans="1:106" ht="12.75">
      <c r="A165">
        <f>ROW(Source!A178)</f>
        <v>178</v>
      </c>
      <c r="B165">
        <v>42253831</v>
      </c>
      <c r="C165">
        <v>42263729</v>
      </c>
      <c r="D165">
        <v>36883483</v>
      </c>
      <c r="E165">
        <v>1</v>
      </c>
      <c r="F165">
        <v>1</v>
      </c>
      <c r="G165">
        <v>1</v>
      </c>
      <c r="H165">
        <v>2</v>
      </c>
      <c r="I165" t="s">
        <v>537</v>
      </c>
      <c r="J165" t="s">
        <v>538</v>
      </c>
      <c r="K165" t="s">
        <v>539</v>
      </c>
      <c r="L165">
        <v>1368</v>
      </c>
      <c r="N165">
        <v>1011</v>
      </c>
      <c r="O165" t="s">
        <v>470</v>
      </c>
      <c r="P165" t="s">
        <v>470</v>
      </c>
      <c r="Q165">
        <v>1</v>
      </c>
      <c r="W165">
        <v>0</v>
      </c>
      <c r="X165">
        <v>529073949</v>
      </c>
      <c r="Y165">
        <v>1.04</v>
      </c>
      <c r="AA165">
        <v>0</v>
      </c>
      <c r="AB165">
        <v>782.1</v>
      </c>
      <c r="AC165">
        <v>231.54</v>
      </c>
      <c r="AD165">
        <v>0</v>
      </c>
      <c r="AE165">
        <v>0</v>
      </c>
      <c r="AF165">
        <v>110</v>
      </c>
      <c r="AG165">
        <v>11.6</v>
      </c>
      <c r="AH165">
        <v>0</v>
      </c>
      <c r="AI165">
        <v>1</v>
      </c>
      <c r="AJ165">
        <v>7.11</v>
      </c>
      <c r="AK165">
        <v>19.96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T165">
        <v>1.04</v>
      </c>
      <c r="AV165">
        <v>0</v>
      </c>
      <c r="AW165">
        <v>2</v>
      </c>
      <c r="AX165">
        <v>42263772</v>
      </c>
      <c r="AY165">
        <v>1</v>
      </c>
      <c r="AZ165">
        <v>0</v>
      </c>
      <c r="BA165">
        <v>167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Y165*Source!I178</f>
        <v>0.0312</v>
      </c>
      <c r="CY165">
        <f>AB165</f>
        <v>782.1</v>
      </c>
      <c r="CZ165">
        <f>AF165</f>
        <v>110</v>
      </c>
      <c r="DA165">
        <f>AJ165</f>
        <v>7.11</v>
      </c>
      <c r="DB165">
        <v>0</v>
      </c>
    </row>
    <row r="166" spans="1:106" ht="12.75">
      <c r="A166">
        <f>ROW(Source!A178)</f>
        <v>178</v>
      </c>
      <c r="B166">
        <v>42253831</v>
      </c>
      <c r="C166">
        <v>42263729</v>
      </c>
      <c r="D166">
        <v>36801792</v>
      </c>
      <c r="E166">
        <v>1</v>
      </c>
      <c r="F166">
        <v>1</v>
      </c>
      <c r="G166">
        <v>1</v>
      </c>
      <c r="H166">
        <v>3</v>
      </c>
      <c r="I166" t="s">
        <v>540</v>
      </c>
      <c r="J166" t="s">
        <v>541</v>
      </c>
      <c r="K166" t="s">
        <v>542</v>
      </c>
      <c r="L166">
        <v>1339</v>
      </c>
      <c r="N166">
        <v>1007</v>
      </c>
      <c r="O166" t="s">
        <v>140</v>
      </c>
      <c r="P166" t="s">
        <v>140</v>
      </c>
      <c r="Q166">
        <v>1</v>
      </c>
      <c r="W166">
        <v>0</v>
      </c>
      <c r="X166">
        <v>-1660354250</v>
      </c>
      <c r="Y166">
        <v>7</v>
      </c>
      <c r="AA166">
        <v>13.81</v>
      </c>
      <c r="AB166">
        <v>0</v>
      </c>
      <c r="AC166">
        <v>0</v>
      </c>
      <c r="AD166">
        <v>0</v>
      </c>
      <c r="AE166">
        <v>2.44</v>
      </c>
      <c r="AF166">
        <v>0</v>
      </c>
      <c r="AG166">
        <v>0</v>
      </c>
      <c r="AH166">
        <v>0</v>
      </c>
      <c r="AI166">
        <v>5.66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T166">
        <v>7</v>
      </c>
      <c r="AV166">
        <v>0</v>
      </c>
      <c r="AW166">
        <v>2</v>
      </c>
      <c r="AX166">
        <v>42263773</v>
      </c>
      <c r="AY166">
        <v>1</v>
      </c>
      <c r="AZ166">
        <v>0</v>
      </c>
      <c r="BA166">
        <v>168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Y166*Source!I178</f>
        <v>0.21</v>
      </c>
      <c r="CY166">
        <f>AA166</f>
        <v>13.81</v>
      </c>
      <c r="CZ166">
        <f>AE166</f>
        <v>2.44</v>
      </c>
      <c r="DA166">
        <f>AI166</f>
        <v>5.66</v>
      </c>
      <c r="DB166">
        <v>0</v>
      </c>
    </row>
    <row r="167" spans="1:106" ht="12.75">
      <c r="A167">
        <f>ROW(Source!A181)</f>
        <v>181</v>
      </c>
      <c r="B167">
        <v>42253831</v>
      </c>
      <c r="C167">
        <v>42255177</v>
      </c>
      <c r="D167">
        <v>37064878</v>
      </c>
      <c r="E167">
        <v>1</v>
      </c>
      <c r="F167">
        <v>1</v>
      </c>
      <c r="G167">
        <v>1</v>
      </c>
      <c r="H167">
        <v>1</v>
      </c>
      <c r="I167" t="s">
        <v>663</v>
      </c>
      <c r="K167" t="s">
        <v>664</v>
      </c>
      <c r="L167">
        <v>1191</v>
      </c>
      <c r="N167">
        <v>1013</v>
      </c>
      <c r="O167" t="s">
        <v>462</v>
      </c>
      <c r="P167" t="s">
        <v>462</v>
      </c>
      <c r="Q167">
        <v>1</v>
      </c>
      <c r="W167">
        <v>0</v>
      </c>
      <c r="X167">
        <v>-1081351934</v>
      </c>
      <c r="Y167">
        <v>25.36</v>
      </c>
      <c r="AA167">
        <v>0</v>
      </c>
      <c r="AB167">
        <v>0</v>
      </c>
      <c r="AC167">
        <v>0</v>
      </c>
      <c r="AD167">
        <v>187.62</v>
      </c>
      <c r="AE167">
        <v>0</v>
      </c>
      <c r="AF167">
        <v>0</v>
      </c>
      <c r="AG167">
        <v>0</v>
      </c>
      <c r="AH167">
        <v>9.4</v>
      </c>
      <c r="AI167">
        <v>1</v>
      </c>
      <c r="AJ167">
        <v>1</v>
      </c>
      <c r="AK167">
        <v>1</v>
      </c>
      <c r="AL167">
        <v>19.96</v>
      </c>
      <c r="AN167">
        <v>0</v>
      </c>
      <c r="AO167">
        <v>1</v>
      </c>
      <c r="AP167">
        <v>0</v>
      </c>
      <c r="AQ167">
        <v>0</v>
      </c>
      <c r="AR167">
        <v>0</v>
      </c>
      <c r="AT167">
        <v>25.36</v>
      </c>
      <c r="AV167">
        <v>1</v>
      </c>
      <c r="AW167">
        <v>2</v>
      </c>
      <c r="AX167">
        <v>42255189</v>
      </c>
      <c r="AY167">
        <v>1</v>
      </c>
      <c r="AZ167">
        <v>0</v>
      </c>
      <c r="BA167">
        <v>170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Y167*Source!I181</f>
        <v>0.7607999999999999</v>
      </c>
      <c r="CY167">
        <f>AD167</f>
        <v>187.62</v>
      </c>
      <c r="CZ167">
        <f>AH167</f>
        <v>9.4</v>
      </c>
      <c r="DA167">
        <f>AL167</f>
        <v>19.96</v>
      </c>
      <c r="DB167">
        <v>0</v>
      </c>
    </row>
    <row r="168" spans="1:106" ht="12.75">
      <c r="A168">
        <f>ROW(Source!A181)</f>
        <v>181</v>
      </c>
      <c r="B168">
        <v>42253831</v>
      </c>
      <c r="C168">
        <v>42255177</v>
      </c>
      <c r="D168">
        <v>37064876</v>
      </c>
      <c r="E168">
        <v>1</v>
      </c>
      <c r="F168">
        <v>1</v>
      </c>
      <c r="G168">
        <v>1</v>
      </c>
      <c r="H168">
        <v>1</v>
      </c>
      <c r="I168" t="s">
        <v>465</v>
      </c>
      <c r="K168" t="s">
        <v>466</v>
      </c>
      <c r="L168">
        <v>1191</v>
      </c>
      <c r="N168">
        <v>1013</v>
      </c>
      <c r="O168" t="s">
        <v>462</v>
      </c>
      <c r="P168" t="s">
        <v>462</v>
      </c>
      <c r="Q168">
        <v>1</v>
      </c>
      <c r="W168">
        <v>0</v>
      </c>
      <c r="X168">
        <v>-1417349443</v>
      </c>
      <c r="Y168">
        <v>7.04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1</v>
      </c>
      <c r="AJ168">
        <v>1</v>
      </c>
      <c r="AK168">
        <v>19.96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T168">
        <v>7.04</v>
      </c>
      <c r="AV168">
        <v>2</v>
      </c>
      <c r="AW168">
        <v>2</v>
      </c>
      <c r="AX168">
        <v>42255190</v>
      </c>
      <c r="AY168">
        <v>1</v>
      </c>
      <c r="AZ168">
        <v>0</v>
      </c>
      <c r="BA168">
        <v>171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Y168*Source!I181</f>
        <v>0.2112</v>
      </c>
      <c r="CY168">
        <f>AD168</f>
        <v>0</v>
      </c>
      <c r="CZ168">
        <f>AH168</f>
        <v>0</v>
      </c>
      <c r="DA168">
        <f>AL168</f>
        <v>1</v>
      </c>
      <c r="DB168">
        <v>0</v>
      </c>
    </row>
    <row r="169" spans="1:106" ht="12.75">
      <c r="A169">
        <f>ROW(Source!A181)</f>
        <v>181</v>
      </c>
      <c r="B169">
        <v>42253831</v>
      </c>
      <c r="C169">
        <v>42255177</v>
      </c>
      <c r="D169">
        <v>36882159</v>
      </c>
      <c r="E169">
        <v>1</v>
      </c>
      <c r="F169">
        <v>1</v>
      </c>
      <c r="G169">
        <v>1</v>
      </c>
      <c r="H169">
        <v>2</v>
      </c>
      <c r="I169" t="s">
        <v>495</v>
      </c>
      <c r="J169" t="s">
        <v>496</v>
      </c>
      <c r="K169" t="s">
        <v>497</v>
      </c>
      <c r="L169">
        <v>1368</v>
      </c>
      <c r="N169">
        <v>1011</v>
      </c>
      <c r="O169" t="s">
        <v>470</v>
      </c>
      <c r="P169" t="s">
        <v>470</v>
      </c>
      <c r="Q169">
        <v>1</v>
      </c>
      <c r="W169">
        <v>0</v>
      </c>
      <c r="X169">
        <v>-1718674368</v>
      </c>
      <c r="Y169">
        <v>0.1</v>
      </c>
      <c r="AA169">
        <v>0</v>
      </c>
      <c r="AB169">
        <v>796.25</v>
      </c>
      <c r="AC169">
        <v>269.46</v>
      </c>
      <c r="AD169">
        <v>0</v>
      </c>
      <c r="AE169">
        <v>0</v>
      </c>
      <c r="AF169">
        <v>111.99</v>
      </c>
      <c r="AG169">
        <v>13.5</v>
      </c>
      <c r="AH169">
        <v>0</v>
      </c>
      <c r="AI169">
        <v>1</v>
      </c>
      <c r="AJ169">
        <v>7.11</v>
      </c>
      <c r="AK169">
        <v>19.96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T169">
        <v>0.1</v>
      </c>
      <c r="AV169">
        <v>0</v>
      </c>
      <c r="AW169">
        <v>2</v>
      </c>
      <c r="AX169">
        <v>42255191</v>
      </c>
      <c r="AY169">
        <v>1</v>
      </c>
      <c r="AZ169">
        <v>0</v>
      </c>
      <c r="BA169">
        <v>172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Y169*Source!I181</f>
        <v>0.003</v>
      </c>
      <c r="CY169">
        <f>AB169</f>
        <v>796.25</v>
      </c>
      <c r="CZ169">
        <f>AF169</f>
        <v>111.99</v>
      </c>
      <c r="DA169">
        <f>AJ169</f>
        <v>7.11</v>
      </c>
      <c r="DB169">
        <v>0</v>
      </c>
    </row>
    <row r="170" spans="1:106" ht="12.75">
      <c r="A170">
        <f>ROW(Source!A181)</f>
        <v>181</v>
      </c>
      <c r="B170">
        <v>42253831</v>
      </c>
      <c r="C170">
        <v>42255177</v>
      </c>
      <c r="D170">
        <v>36882440</v>
      </c>
      <c r="E170">
        <v>1</v>
      </c>
      <c r="F170">
        <v>1</v>
      </c>
      <c r="G170">
        <v>1</v>
      </c>
      <c r="H170">
        <v>2</v>
      </c>
      <c r="I170" t="s">
        <v>665</v>
      </c>
      <c r="J170" t="s">
        <v>666</v>
      </c>
      <c r="K170" t="s">
        <v>667</v>
      </c>
      <c r="L170">
        <v>1368</v>
      </c>
      <c r="N170">
        <v>1011</v>
      </c>
      <c r="O170" t="s">
        <v>470</v>
      </c>
      <c r="P170" t="s">
        <v>470</v>
      </c>
      <c r="Q170">
        <v>1</v>
      </c>
      <c r="W170">
        <v>0</v>
      </c>
      <c r="X170">
        <v>68519795</v>
      </c>
      <c r="Y170">
        <v>6.84</v>
      </c>
      <c r="AA170">
        <v>0</v>
      </c>
      <c r="AB170">
        <v>210.46</v>
      </c>
      <c r="AC170">
        <v>200.8</v>
      </c>
      <c r="AD170">
        <v>0</v>
      </c>
      <c r="AE170">
        <v>0</v>
      </c>
      <c r="AF170">
        <v>29.6</v>
      </c>
      <c r="AG170">
        <v>10.06</v>
      </c>
      <c r="AH170">
        <v>0</v>
      </c>
      <c r="AI170">
        <v>1</v>
      </c>
      <c r="AJ170">
        <v>7.11</v>
      </c>
      <c r="AK170">
        <v>19.96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T170">
        <v>6.84</v>
      </c>
      <c r="AV170">
        <v>0</v>
      </c>
      <c r="AW170">
        <v>2</v>
      </c>
      <c r="AX170">
        <v>42255192</v>
      </c>
      <c r="AY170">
        <v>1</v>
      </c>
      <c r="AZ170">
        <v>0</v>
      </c>
      <c r="BA170">
        <v>173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Y170*Source!I181</f>
        <v>0.2052</v>
      </c>
      <c r="CY170">
        <f>AB170</f>
        <v>210.46</v>
      </c>
      <c r="CZ170">
        <f>AF170</f>
        <v>29.6</v>
      </c>
      <c r="DA170">
        <f>AJ170</f>
        <v>7.11</v>
      </c>
      <c r="DB170">
        <v>0</v>
      </c>
    </row>
    <row r="171" spans="1:106" ht="12.75">
      <c r="A171">
        <f>ROW(Source!A181)</f>
        <v>181</v>
      </c>
      <c r="B171">
        <v>42253831</v>
      </c>
      <c r="C171">
        <v>42255177</v>
      </c>
      <c r="D171">
        <v>36883554</v>
      </c>
      <c r="E171">
        <v>1</v>
      </c>
      <c r="F171">
        <v>1</v>
      </c>
      <c r="G171">
        <v>1</v>
      </c>
      <c r="H171">
        <v>2</v>
      </c>
      <c r="I171" t="s">
        <v>498</v>
      </c>
      <c r="J171" t="s">
        <v>499</v>
      </c>
      <c r="K171" t="s">
        <v>500</v>
      </c>
      <c r="L171">
        <v>1368</v>
      </c>
      <c r="N171">
        <v>1011</v>
      </c>
      <c r="O171" t="s">
        <v>470</v>
      </c>
      <c r="P171" t="s">
        <v>470</v>
      </c>
      <c r="Q171">
        <v>1</v>
      </c>
      <c r="W171">
        <v>0</v>
      </c>
      <c r="X171">
        <v>1372534845</v>
      </c>
      <c r="Y171">
        <v>0.1</v>
      </c>
      <c r="AA171">
        <v>0</v>
      </c>
      <c r="AB171">
        <v>467.2</v>
      </c>
      <c r="AC171">
        <v>231.54</v>
      </c>
      <c r="AD171">
        <v>0</v>
      </c>
      <c r="AE171">
        <v>0</v>
      </c>
      <c r="AF171">
        <v>65.71</v>
      </c>
      <c r="AG171">
        <v>11.6</v>
      </c>
      <c r="AH171">
        <v>0</v>
      </c>
      <c r="AI171">
        <v>1</v>
      </c>
      <c r="AJ171">
        <v>7.11</v>
      </c>
      <c r="AK171">
        <v>19.96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T171">
        <v>0.1</v>
      </c>
      <c r="AV171">
        <v>0</v>
      </c>
      <c r="AW171">
        <v>2</v>
      </c>
      <c r="AX171">
        <v>42255193</v>
      </c>
      <c r="AY171">
        <v>1</v>
      </c>
      <c r="AZ171">
        <v>0</v>
      </c>
      <c r="BA171">
        <v>174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Y171*Source!I181</f>
        <v>0.003</v>
      </c>
      <c r="CY171">
        <f>AB171</f>
        <v>467.2</v>
      </c>
      <c r="CZ171">
        <f>AF171</f>
        <v>65.71</v>
      </c>
      <c r="DA171">
        <f>AJ171</f>
        <v>7.11</v>
      </c>
      <c r="DB171">
        <v>0</v>
      </c>
    </row>
    <row r="172" spans="1:106" ht="12.75">
      <c r="A172">
        <f>ROW(Source!A181)</f>
        <v>181</v>
      </c>
      <c r="B172">
        <v>42253831</v>
      </c>
      <c r="C172">
        <v>42255177</v>
      </c>
      <c r="D172">
        <v>36883858</v>
      </c>
      <c r="E172">
        <v>1</v>
      </c>
      <c r="F172">
        <v>1</v>
      </c>
      <c r="G172">
        <v>1</v>
      </c>
      <c r="H172">
        <v>2</v>
      </c>
      <c r="I172" t="s">
        <v>501</v>
      </c>
      <c r="J172" t="s">
        <v>502</v>
      </c>
      <c r="K172" t="s">
        <v>503</v>
      </c>
      <c r="L172">
        <v>1368</v>
      </c>
      <c r="N172">
        <v>1011</v>
      </c>
      <c r="O172" t="s">
        <v>470</v>
      </c>
      <c r="P172" t="s">
        <v>470</v>
      </c>
      <c r="Q172">
        <v>1</v>
      </c>
      <c r="W172">
        <v>0</v>
      </c>
      <c r="X172">
        <v>-353815937</v>
      </c>
      <c r="Y172">
        <v>2.54</v>
      </c>
      <c r="AA172">
        <v>0</v>
      </c>
      <c r="AB172">
        <v>57.59</v>
      </c>
      <c r="AC172">
        <v>0</v>
      </c>
      <c r="AD172">
        <v>0</v>
      </c>
      <c r="AE172">
        <v>0</v>
      </c>
      <c r="AF172">
        <v>8.1</v>
      </c>
      <c r="AG172">
        <v>0</v>
      </c>
      <c r="AH172">
        <v>0</v>
      </c>
      <c r="AI172">
        <v>1</v>
      </c>
      <c r="AJ172">
        <v>7.11</v>
      </c>
      <c r="AK172">
        <v>19.96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2.54</v>
      </c>
      <c r="AV172">
        <v>0</v>
      </c>
      <c r="AW172">
        <v>2</v>
      </c>
      <c r="AX172">
        <v>42255194</v>
      </c>
      <c r="AY172">
        <v>1</v>
      </c>
      <c r="AZ172">
        <v>0</v>
      </c>
      <c r="BA172">
        <v>175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Y172*Source!I181</f>
        <v>0.0762</v>
      </c>
      <c r="CY172">
        <f>AB172</f>
        <v>57.59</v>
      </c>
      <c r="CZ172">
        <f>AF172</f>
        <v>8.1</v>
      </c>
      <c r="DA172">
        <f>AJ172</f>
        <v>7.11</v>
      </c>
      <c r="DB172">
        <v>0</v>
      </c>
    </row>
    <row r="173" spans="1:106" ht="12.75">
      <c r="A173">
        <f>ROW(Source!A181)</f>
        <v>181</v>
      </c>
      <c r="B173">
        <v>42253831</v>
      </c>
      <c r="C173">
        <v>42255177</v>
      </c>
      <c r="D173">
        <v>36803258</v>
      </c>
      <c r="E173">
        <v>1</v>
      </c>
      <c r="F173">
        <v>1</v>
      </c>
      <c r="G173">
        <v>1</v>
      </c>
      <c r="H173">
        <v>3</v>
      </c>
      <c r="I173" t="s">
        <v>507</v>
      </c>
      <c r="J173" t="s">
        <v>508</v>
      </c>
      <c r="K173" t="s">
        <v>509</v>
      </c>
      <c r="L173">
        <v>1346</v>
      </c>
      <c r="N173">
        <v>1009</v>
      </c>
      <c r="O173" t="s">
        <v>386</v>
      </c>
      <c r="P173" t="s">
        <v>386</v>
      </c>
      <c r="Q173">
        <v>1</v>
      </c>
      <c r="W173">
        <v>0</v>
      </c>
      <c r="X173">
        <v>586013393</v>
      </c>
      <c r="Y173">
        <v>6.84</v>
      </c>
      <c r="AA173">
        <v>59.83</v>
      </c>
      <c r="AB173">
        <v>0</v>
      </c>
      <c r="AC173">
        <v>0</v>
      </c>
      <c r="AD173">
        <v>0</v>
      </c>
      <c r="AE173">
        <v>10.57</v>
      </c>
      <c r="AF173">
        <v>0</v>
      </c>
      <c r="AG173">
        <v>0</v>
      </c>
      <c r="AH173">
        <v>0</v>
      </c>
      <c r="AI173">
        <v>5.66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6.84</v>
      </c>
      <c r="AV173">
        <v>0</v>
      </c>
      <c r="AW173">
        <v>2</v>
      </c>
      <c r="AX173">
        <v>42255195</v>
      </c>
      <c r="AY173">
        <v>1</v>
      </c>
      <c r="AZ173">
        <v>0</v>
      </c>
      <c r="BA173">
        <v>176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Y173*Source!I181</f>
        <v>0.2052</v>
      </c>
      <c r="CY173">
        <f>AA173</f>
        <v>59.83</v>
      </c>
      <c r="CZ173">
        <f>AE173</f>
        <v>10.57</v>
      </c>
      <c r="DA173">
        <f>AI173</f>
        <v>5.66</v>
      </c>
      <c r="DB173">
        <v>0</v>
      </c>
    </row>
    <row r="174" spans="1:106" ht="12.75">
      <c r="A174">
        <f>ROW(Source!A181)</f>
        <v>181</v>
      </c>
      <c r="B174">
        <v>42253831</v>
      </c>
      <c r="C174">
        <v>42255177</v>
      </c>
      <c r="D174">
        <v>36804448</v>
      </c>
      <c r="E174">
        <v>1</v>
      </c>
      <c r="F174">
        <v>1</v>
      </c>
      <c r="G174">
        <v>1</v>
      </c>
      <c r="H174">
        <v>3</v>
      </c>
      <c r="I174" t="s">
        <v>668</v>
      </c>
      <c r="J174" t="s">
        <v>669</v>
      </c>
      <c r="K174" t="s">
        <v>670</v>
      </c>
      <c r="L174">
        <v>1346</v>
      </c>
      <c r="N174">
        <v>1009</v>
      </c>
      <c r="O174" t="s">
        <v>386</v>
      </c>
      <c r="P174" t="s">
        <v>386</v>
      </c>
      <c r="Q174">
        <v>1</v>
      </c>
      <c r="W174">
        <v>0</v>
      </c>
      <c r="X174">
        <v>103900845</v>
      </c>
      <c r="Y174">
        <v>0.8</v>
      </c>
      <c r="AA174">
        <v>51.17</v>
      </c>
      <c r="AB174">
        <v>0</v>
      </c>
      <c r="AC174">
        <v>0</v>
      </c>
      <c r="AD174">
        <v>0</v>
      </c>
      <c r="AE174">
        <v>9.04</v>
      </c>
      <c r="AF174">
        <v>0</v>
      </c>
      <c r="AG174">
        <v>0</v>
      </c>
      <c r="AH174">
        <v>0</v>
      </c>
      <c r="AI174">
        <v>5.66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T174">
        <v>0.8</v>
      </c>
      <c r="AV174">
        <v>0</v>
      </c>
      <c r="AW174">
        <v>2</v>
      </c>
      <c r="AX174">
        <v>42255196</v>
      </c>
      <c r="AY174">
        <v>1</v>
      </c>
      <c r="AZ174">
        <v>0</v>
      </c>
      <c r="BA174">
        <v>177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Y174*Source!I181</f>
        <v>0.024</v>
      </c>
      <c r="CY174">
        <f>AA174</f>
        <v>51.17</v>
      </c>
      <c r="CZ174">
        <f>AE174</f>
        <v>9.04</v>
      </c>
      <c r="DA174">
        <f>AI174</f>
        <v>5.66</v>
      </c>
      <c r="DB174">
        <v>0</v>
      </c>
    </row>
    <row r="175" spans="1:106" ht="12.75">
      <c r="A175">
        <f>ROW(Source!A181)</f>
        <v>181</v>
      </c>
      <c r="B175">
        <v>42253831</v>
      </c>
      <c r="C175">
        <v>42255177</v>
      </c>
      <c r="D175">
        <v>36804580</v>
      </c>
      <c r="E175">
        <v>1</v>
      </c>
      <c r="F175">
        <v>1</v>
      </c>
      <c r="G175">
        <v>1</v>
      </c>
      <c r="H175">
        <v>3</v>
      </c>
      <c r="I175" t="s">
        <v>671</v>
      </c>
      <c r="J175" t="s">
        <v>672</v>
      </c>
      <c r="K175" t="s">
        <v>673</v>
      </c>
      <c r="L175">
        <v>1355</v>
      </c>
      <c r="N175">
        <v>1010</v>
      </c>
      <c r="O175" t="s">
        <v>674</v>
      </c>
      <c r="P175" t="s">
        <v>674</v>
      </c>
      <c r="Q175">
        <v>100</v>
      </c>
      <c r="W175">
        <v>0</v>
      </c>
      <c r="X175">
        <v>1794244060</v>
      </c>
      <c r="Y175">
        <v>0.4</v>
      </c>
      <c r="AA175">
        <v>486.76</v>
      </c>
      <c r="AB175">
        <v>0</v>
      </c>
      <c r="AC175">
        <v>0</v>
      </c>
      <c r="AD175">
        <v>0</v>
      </c>
      <c r="AE175">
        <v>86</v>
      </c>
      <c r="AF175">
        <v>0</v>
      </c>
      <c r="AG175">
        <v>0</v>
      </c>
      <c r="AH175">
        <v>0</v>
      </c>
      <c r="AI175">
        <v>5.66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T175">
        <v>0.4</v>
      </c>
      <c r="AV175">
        <v>0</v>
      </c>
      <c r="AW175">
        <v>2</v>
      </c>
      <c r="AX175">
        <v>42255197</v>
      </c>
      <c r="AY175">
        <v>1</v>
      </c>
      <c r="AZ175">
        <v>0</v>
      </c>
      <c r="BA175">
        <v>178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Y175*Source!I181</f>
        <v>0.012</v>
      </c>
      <c r="CY175">
        <f>AA175</f>
        <v>486.76</v>
      </c>
      <c r="CZ175">
        <f>AE175</f>
        <v>86</v>
      </c>
      <c r="DA175">
        <f>AI175</f>
        <v>5.66</v>
      </c>
      <c r="DB175">
        <v>0</v>
      </c>
    </row>
    <row r="176" spans="1:106" ht="12.75">
      <c r="A176">
        <f>ROW(Source!A181)</f>
        <v>181</v>
      </c>
      <c r="B176">
        <v>42253831</v>
      </c>
      <c r="C176">
        <v>42255177</v>
      </c>
      <c r="D176">
        <v>36853457</v>
      </c>
      <c r="E176">
        <v>1</v>
      </c>
      <c r="F176">
        <v>1</v>
      </c>
      <c r="G176">
        <v>1</v>
      </c>
      <c r="H176">
        <v>3</v>
      </c>
      <c r="I176" t="s">
        <v>675</v>
      </c>
      <c r="J176" t="s">
        <v>676</v>
      </c>
      <c r="K176" t="s">
        <v>677</v>
      </c>
      <c r="L176">
        <v>1355</v>
      </c>
      <c r="N176">
        <v>1010</v>
      </c>
      <c r="O176" t="s">
        <v>674</v>
      </c>
      <c r="P176" t="s">
        <v>674</v>
      </c>
      <c r="Q176">
        <v>100</v>
      </c>
      <c r="W176">
        <v>0</v>
      </c>
      <c r="X176">
        <v>-1624577707</v>
      </c>
      <c r="Y176">
        <v>0.11</v>
      </c>
      <c r="AA176">
        <v>3492.22</v>
      </c>
      <c r="AB176">
        <v>0</v>
      </c>
      <c r="AC176">
        <v>0</v>
      </c>
      <c r="AD176">
        <v>0</v>
      </c>
      <c r="AE176">
        <v>617</v>
      </c>
      <c r="AF176">
        <v>0</v>
      </c>
      <c r="AG176">
        <v>0</v>
      </c>
      <c r="AH176">
        <v>0</v>
      </c>
      <c r="AI176">
        <v>5.66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T176">
        <v>0.11</v>
      </c>
      <c r="AV176">
        <v>0</v>
      </c>
      <c r="AW176">
        <v>2</v>
      </c>
      <c r="AX176">
        <v>42255198</v>
      </c>
      <c r="AY176">
        <v>1</v>
      </c>
      <c r="AZ176">
        <v>0</v>
      </c>
      <c r="BA176">
        <v>179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Y176*Source!I181</f>
        <v>0.0033</v>
      </c>
      <c r="CY176">
        <f>AA176</f>
        <v>3492.22</v>
      </c>
      <c r="CZ176">
        <f>AE176</f>
        <v>617</v>
      </c>
      <c r="DA176">
        <f>AI176</f>
        <v>5.66</v>
      </c>
      <c r="DB176">
        <v>0</v>
      </c>
    </row>
    <row r="177" spans="1:106" ht="12.75">
      <c r="A177">
        <f>ROW(Source!A181)</f>
        <v>181</v>
      </c>
      <c r="B177">
        <v>42253831</v>
      </c>
      <c r="C177">
        <v>42255177</v>
      </c>
      <c r="D177">
        <v>36799065</v>
      </c>
      <c r="E177">
        <v>17</v>
      </c>
      <c r="F177">
        <v>1</v>
      </c>
      <c r="G177">
        <v>1</v>
      </c>
      <c r="H177">
        <v>3</v>
      </c>
      <c r="I177" t="s">
        <v>516</v>
      </c>
      <c r="K177" t="s">
        <v>517</v>
      </c>
      <c r="L177">
        <v>1374</v>
      </c>
      <c r="N177">
        <v>1013</v>
      </c>
      <c r="O177" t="s">
        <v>518</v>
      </c>
      <c r="P177" t="s">
        <v>518</v>
      </c>
      <c r="Q177">
        <v>1</v>
      </c>
      <c r="W177">
        <v>0</v>
      </c>
      <c r="X177">
        <v>-1731369543</v>
      </c>
      <c r="Y177">
        <v>4.77</v>
      </c>
      <c r="AA177">
        <v>19.96</v>
      </c>
      <c r="AB177">
        <v>0</v>
      </c>
      <c r="AC177">
        <v>0</v>
      </c>
      <c r="AD177">
        <v>0</v>
      </c>
      <c r="AE177">
        <v>1</v>
      </c>
      <c r="AF177">
        <v>0</v>
      </c>
      <c r="AG177">
        <v>0</v>
      </c>
      <c r="AH177">
        <v>0</v>
      </c>
      <c r="AI177">
        <v>19.96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T177">
        <v>4.77</v>
      </c>
      <c r="AV177">
        <v>0</v>
      </c>
      <c r="AW177">
        <v>2</v>
      </c>
      <c r="AX177">
        <v>42255199</v>
      </c>
      <c r="AY177">
        <v>1</v>
      </c>
      <c r="AZ177">
        <v>0</v>
      </c>
      <c r="BA177">
        <v>180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Y177*Source!I181</f>
        <v>0.14309999999999998</v>
      </c>
      <c r="CY177">
        <f>AA177</f>
        <v>19.96</v>
      </c>
      <c r="CZ177">
        <f>AE177</f>
        <v>1</v>
      </c>
      <c r="DA177">
        <f>AI177</f>
        <v>19.96</v>
      </c>
      <c r="DB177">
        <v>0</v>
      </c>
    </row>
    <row r="178" spans="1:106" ht="12.75">
      <c r="A178">
        <f>ROW(Source!A183)</f>
        <v>183</v>
      </c>
      <c r="B178">
        <v>42253831</v>
      </c>
      <c r="C178">
        <v>42255202</v>
      </c>
      <c r="D178">
        <v>37064878</v>
      </c>
      <c r="E178">
        <v>1</v>
      </c>
      <c r="F178">
        <v>1</v>
      </c>
      <c r="G178">
        <v>1</v>
      </c>
      <c r="H178">
        <v>1</v>
      </c>
      <c r="I178" t="s">
        <v>663</v>
      </c>
      <c r="K178" t="s">
        <v>664</v>
      </c>
      <c r="L178">
        <v>1191</v>
      </c>
      <c r="N178">
        <v>1013</v>
      </c>
      <c r="O178" t="s">
        <v>462</v>
      </c>
      <c r="P178" t="s">
        <v>462</v>
      </c>
      <c r="Q178">
        <v>1</v>
      </c>
      <c r="W178">
        <v>0</v>
      </c>
      <c r="X178">
        <v>-1081351934</v>
      </c>
      <c r="Y178">
        <v>10.7</v>
      </c>
      <c r="AA178">
        <v>0</v>
      </c>
      <c r="AB178">
        <v>0</v>
      </c>
      <c r="AC178">
        <v>0</v>
      </c>
      <c r="AD178">
        <v>187.62</v>
      </c>
      <c r="AE178">
        <v>0</v>
      </c>
      <c r="AF178">
        <v>0</v>
      </c>
      <c r="AG178">
        <v>0</v>
      </c>
      <c r="AH178">
        <v>9.4</v>
      </c>
      <c r="AI178">
        <v>1</v>
      </c>
      <c r="AJ178">
        <v>1</v>
      </c>
      <c r="AK178">
        <v>1</v>
      </c>
      <c r="AL178">
        <v>19.96</v>
      </c>
      <c r="AN178">
        <v>0</v>
      </c>
      <c r="AO178">
        <v>1</v>
      </c>
      <c r="AP178">
        <v>0</v>
      </c>
      <c r="AQ178">
        <v>0</v>
      </c>
      <c r="AR178">
        <v>0</v>
      </c>
      <c r="AT178">
        <v>10.7</v>
      </c>
      <c r="AV178">
        <v>1</v>
      </c>
      <c r="AW178">
        <v>2</v>
      </c>
      <c r="AX178">
        <v>42255212</v>
      </c>
      <c r="AY178">
        <v>1</v>
      </c>
      <c r="AZ178">
        <v>0</v>
      </c>
      <c r="BA178">
        <v>181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Y178*Source!I183</f>
        <v>8.56</v>
      </c>
      <c r="CY178">
        <f>AD178</f>
        <v>187.62</v>
      </c>
      <c r="CZ178">
        <f>AH178</f>
        <v>9.4</v>
      </c>
      <c r="DA178">
        <f>AL178</f>
        <v>19.96</v>
      </c>
      <c r="DB178">
        <v>0</v>
      </c>
    </row>
    <row r="179" spans="1:106" ht="12.75">
      <c r="A179">
        <f>ROW(Source!A183)</f>
        <v>183</v>
      </c>
      <c r="B179">
        <v>42253831</v>
      </c>
      <c r="C179">
        <v>42255202</v>
      </c>
      <c r="D179">
        <v>37064876</v>
      </c>
      <c r="E179">
        <v>1</v>
      </c>
      <c r="F179">
        <v>1</v>
      </c>
      <c r="G179">
        <v>1</v>
      </c>
      <c r="H179">
        <v>1</v>
      </c>
      <c r="I179" t="s">
        <v>465</v>
      </c>
      <c r="K179" t="s">
        <v>466</v>
      </c>
      <c r="L179">
        <v>1191</v>
      </c>
      <c r="N179">
        <v>1013</v>
      </c>
      <c r="O179" t="s">
        <v>462</v>
      </c>
      <c r="P179" t="s">
        <v>462</v>
      </c>
      <c r="Q179">
        <v>1</v>
      </c>
      <c r="W179">
        <v>0</v>
      </c>
      <c r="X179">
        <v>-1417349443</v>
      </c>
      <c r="Y179">
        <v>0.38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1</v>
      </c>
      <c r="AJ179">
        <v>1</v>
      </c>
      <c r="AK179">
        <v>19.96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T179">
        <v>0.38</v>
      </c>
      <c r="AV179">
        <v>2</v>
      </c>
      <c r="AW179">
        <v>2</v>
      </c>
      <c r="AX179">
        <v>42255213</v>
      </c>
      <c r="AY179">
        <v>1</v>
      </c>
      <c r="AZ179">
        <v>0</v>
      </c>
      <c r="BA179">
        <v>182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Y179*Source!I183</f>
        <v>0.30400000000000005</v>
      </c>
      <c r="CY179">
        <f>AD179</f>
        <v>0</v>
      </c>
      <c r="CZ179">
        <f>AH179</f>
        <v>0</v>
      </c>
      <c r="DA179">
        <f>AL179</f>
        <v>1</v>
      </c>
      <c r="DB179">
        <v>0</v>
      </c>
    </row>
    <row r="180" spans="1:106" ht="12.75">
      <c r="A180">
        <f>ROW(Source!A183)</f>
        <v>183</v>
      </c>
      <c r="B180">
        <v>42253831</v>
      </c>
      <c r="C180">
        <v>42255202</v>
      </c>
      <c r="D180">
        <v>36882159</v>
      </c>
      <c r="E180">
        <v>1</v>
      </c>
      <c r="F180">
        <v>1</v>
      </c>
      <c r="G180">
        <v>1</v>
      </c>
      <c r="H180">
        <v>2</v>
      </c>
      <c r="I180" t="s">
        <v>495</v>
      </c>
      <c r="J180" t="s">
        <v>496</v>
      </c>
      <c r="K180" t="s">
        <v>497</v>
      </c>
      <c r="L180">
        <v>1368</v>
      </c>
      <c r="N180">
        <v>1011</v>
      </c>
      <c r="O180" t="s">
        <v>470</v>
      </c>
      <c r="P180" t="s">
        <v>470</v>
      </c>
      <c r="Q180">
        <v>1</v>
      </c>
      <c r="W180">
        <v>0</v>
      </c>
      <c r="X180">
        <v>-1718674368</v>
      </c>
      <c r="Y180">
        <v>0.19</v>
      </c>
      <c r="AA180">
        <v>0</v>
      </c>
      <c r="AB180">
        <v>796.25</v>
      </c>
      <c r="AC180">
        <v>269.46</v>
      </c>
      <c r="AD180">
        <v>0</v>
      </c>
      <c r="AE180">
        <v>0</v>
      </c>
      <c r="AF180">
        <v>111.99</v>
      </c>
      <c r="AG180">
        <v>13.5</v>
      </c>
      <c r="AH180">
        <v>0</v>
      </c>
      <c r="AI180">
        <v>1</v>
      </c>
      <c r="AJ180">
        <v>7.11</v>
      </c>
      <c r="AK180">
        <v>19.96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T180">
        <v>0.19</v>
      </c>
      <c r="AV180">
        <v>0</v>
      </c>
      <c r="AW180">
        <v>2</v>
      </c>
      <c r="AX180">
        <v>42255214</v>
      </c>
      <c r="AY180">
        <v>1</v>
      </c>
      <c r="AZ180">
        <v>0</v>
      </c>
      <c r="BA180">
        <v>183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Y180*Source!I183</f>
        <v>0.15200000000000002</v>
      </c>
      <c r="CY180">
        <f>AB180</f>
        <v>796.25</v>
      </c>
      <c r="CZ180">
        <f>AF180</f>
        <v>111.99</v>
      </c>
      <c r="DA180">
        <f>AJ180</f>
        <v>7.11</v>
      </c>
      <c r="DB180">
        <v>0</v>
      </c>
    </row>
    <row r="181" spans="1:106" ht="12.75">
      <c r="A181">
        <f>ROW(Source!A183)</f>
        <v>183</v>
      </c>
      <c r="B181">
        <v>42253831</v>
      </c>
      <c r="C181">
        <v>42255202</v>
      </c>
      <c r="D181">
        <v>36883554</v>
      </c>
      <c r="E181">
        <v>1</v>
      </c>
      <c r="F181">
        <v>1</v>
      </c>
      <c r="G181">
        <v>1</v>
      </c>
      <c r="H181">
        <v>2</v>
      </c>
      <c r="I181" t="s">
        <v>498</v>
      </c>
      <c r="J181" t="s">
        <v>499</v>
      </c>
      <c r="K181" t="s">
        <v>500</v>
      </c>
      <c r="L181">
        <v>1368</v>
      </c>
      <c r="N181">
        <v>1011</v>
      </c>
      <c r="O181" t="s">
        <v>470</v>
      </c>
      <c r="P181" t="s">
        <v>470</v>
      </c>
      <c r="Q181">
        <v>1</v>
      </c>
      <c r="W181">
        <v>0</v>
      </c>
      <c r="X181">
        <v>1372534845</v>
      </c>
      <c r="Y181">
        <v>0.19</v>
      </c>
      <c r="AA181">
        <v>0</v>
      </c>
      <c r="AB181">
        <v>467.2</v>
      </c>
      <c r="AC181">
        <v>231.54</v>
      </c>
      <c r="AD181">
        <v>0</v>
      </c>
      <c r="AE181">
        <v>0</v>
      </c>
      <c r="AF181">
        <v>65.71</v>
      </c>
      <c r="AG181">
        <v>11.6</v>
      </c>
      <c r="AH181">
        <v>0</v>
      </c>
      <c r="AI181">
        <v>1</v>
      </c>
      <c r="AJ181">
        <v>7.11</v>
      </c>
      <c r="AK181">
        <v>19.96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T181">
        <v>0.19</v>
      </c>
      <c r="AV181">
        <v>0</v>
      </c>
      <c r="AW181">
        <v>2</v>
      </c>
      <c r="AX181">
        <v>42255215</v>
      </c>
      <c r="AY181">
        <v>1</v>
      </c>
      <c r="AZ181">
        <v>0</v>
      </c>
      <c r="BA181">
        <v>184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Y181*Source!I183</f>
        <v>0.15200000000000002</v>
      </c>
      <c r="CY181">
        <f>AB181</f>
        <v>467.2</v>
      </c>
      <c r="CZ181">
        <f>AF181</f>
        <v>65.71</v>
      </c>
      <c r="DA181">
        <f>AJ181</f>
        <v>7.11</v>
      </c>
      <c r="DB181">
        <v>0</v>
      </c>
    </row>
    <row r="182" spans="1:106" ht="12.75">
      <c r="A182">
        <f>ROW(Source!A183)</f>
        <v>183</v>
      </c>
      <c r="B182">
        <v>42253831</v>
      </c>
      <c r="C182">
        <v>42255202</v>
      </c>
      <c r="D182">
        <v>36883858</v>
      </c>
      <c r="E182">
        <v>1</v>
      </c>
      <c r="F182">
        <v>1</v>
      </c>
      <c r="G182">
        <v>1</v>
      </c>
      <c r="H182">
        <v>2</v>
      </c>
      <c r="I182" t="s">
        <v>501</v>
      </c>
      <c r="J182" t="s">
        <v>502</v>
      </c>
      <c r="K182" t="s">
        <v>503</v>
      </c>
      <c r="L182">
        <v>1368</v>
      </c>
      <c r="N182">
        <v>1011</v>
      </c>
      <c r="O182" t="s">
        <v>470</v>
      </c>
      <c r="P182" t="s">
        <v>470</v>
      </c>
      <c r="Q182">
        <v>1</v>
      </c>
      <c r="W182">
        <v>0</v>
      </c>
      <c r="X182">
        <v>-353815937</v>
      </c>
      <c r="Y182">
        <v>1.75</v>
      </c>
      <c r="AA182">
        <v>0</v>
      </c>
      <c r="AB182">
        <v>57.59</v>
      </c>
      <c r="AC182">
        <v>0</v>
      </c>
      <c r="AD182">
        <v>0</v>
      </c>
      <c r="AE182">
        <v>0</v>
      </c>
      <c r="AF182">
        <v>8.1</v>
      </c>
      <c r="AG182">
        <v>0</v>
      </c>
      <c r="AH182">
        <v>0</v>
      </c>
      <c r="AI182">
        <v>1</v>
      </c>
      <c r="AJ182">
        <v>7.11</v>
      </c>
      <c r="AK182">
        <v>19.96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T182">
        <v>1.75</v>
      </c>
      <c r="AV182">
        <v>0</v>
      </c>
      <c r="AW182">
        <v>2</v>
      </c>
      <c r="AX182">
        <v>42255216</v>
      </c>
      <c r="AY182">
        <v>1</v>
      </c>
      <c r="AZ182">
        <v>0</v>
      </c>
      <c r="BA182">
        <v>185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Y182*Source!I183</f>
        <v>1.4000000000000001</v>
      </c>
      <c r="CY182">
        <f>AB182</f>
        <v>57.59</v>
      </c>
      <c r="CZ182">
        <f>AF182</f>
        <v>8.1</v>
      </c>
      <c r="DA182">
        <f>AJ182</f>
        <v>7.11</v>
      </c>
      <c r="DB182">
        <v>0</v>
      </c>
    </row>
    <row r="183" spans="1:106" ht="12.75">
      <c r="A183">
        <f>ROW(Source!A183)</f>
        <v>183</v>
      </c>
      <c r="B183">
        <v>42253831</v>
      </c>
      <c r="C183">
        <v>42255202</v>
      </c>
      <c r="D183">
        <v>36803258</v>
      </c>
      <c r="E183">
        <v>1</v>
      </c>
      <c r="F183">
        <v>1</v>
      </c>
      <c r="G183">
        <v>1</v>
      </c>
      <c r="H183">
        <v>3</v>
      </c>
      <c r="I183" t="s">
        <v>507</v>
      </c>
      <c r="J183" t="s">
        <v>508</v>
      </c>
      <c r="K183" t="s">
        <v>509</v>
      </c>
      <c r="L183">
        <v>1346</v>
      </c>
      <c r="N183">
        <v>1009</v>
      </c>
      <c r="O183" t="s">
        <v>386</v>
      </c>
      <c r="P183" t="s">
        <v>386</v>
      </c>
      <c r="Q183">
        <v>1</v>
      </c>
      <c r="W183">
        <v>0</v>
      </c>
      <c r="X183">
        <v>586013393</v>
      </c>
      <c r="Y183">
        <v>0.65</v>
      </c>
      <c r="AA183">
        <v>59.83</v>
      </c>
      <c r="AB183">
        <v>0</v>
      </c>
      <c r="AC183">
        <v>0</v>
      </c>
      <c r="AD183">
        <v>0</v>
      </c>
      <c r="AE183">
        <v>10.57</v>
      </c>
      <c r="AF183">
        <v>0</v>
      </c>
      <c r="AG183">
        <v>0</v>
      </c>
      <c r="AH183">
        <v>0</v>
      </c>
      <c r="AI183">
        <v>5.66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T183">
        <v>0.65</v>
      </c>
      <c r="AV183">
        <v>0</v>
      </c>
      <c r="AW183">
        <v>2</v>
      </c>
      <c r="AX183">
        <v>42255217</v>
      </c>
      <c r="AY183">
        <v>1</v>
      </c>
      <c r="AZ183">
        <v>0</v>
      </c>
      <c r="BA183">
        <v>186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Y183*Source!I183</f>
        <v>0.52</v>
      </c>
      <c r="CY183">
        <f>AA183</f>
        <v>59.83</v>
      </c>
      <c r="CZ183">
        <f>AE183</f>
        <v>10.57</v>
      </c>
      <c r="DA183">
        <f>AI183</f>
        <v>5.66</v>
      </c>
      <c r="DB183">
        <v>0</v>
      </c>
    </row>
    <row r="184" spans="1:106" ht="12.75">
      <c r="A184">
        <f>ROW(Source!A183)</f>
        <v>183</v>
      </c>
      <c r="B184">
        <v>42253831</v>
      </c>
      <c r="C184">
        <v>42255202</v>
      </c>
      <c r="D184">
        <v>36826053</v>
      </c>
      <c r="E184">
        <v>1</v>
      </c>
      <c r="F184">
        <v>1</v>
      </c>
      <c r="G184">
        <v>1</v>
      </c>
      <c r="H184">
        <v>3</v>
      </c>
      <c r="I184" t="s">
        <v>303</v>
      </c>
      <c r="J184" t="s">
        <v>305</v>
      </c>
      <c r="K184" t="s">
        <v>304</v>
      </c>
      <c r="L184">
        <v>1348</v>
      </c>
      <c r="N184">
        <v>1009</v>
      </c>
      <c r="O184" t="s">
        <v>246</v>
      </c>
      <c r="P184" t="s">
        <v>246</v>
      </c>
      <c r="Q184">
        <v>1000</v>
      </c>
      <c r="W184">
        <v>0</v>
      </c>
      <c r="X184">
        <v>-2125146360</v>
      </c>
      <c r="Y184">
        <v>0.13</v>
      </c>
      <c r="AA184">
        <v>32618.58</v>
      </c>
      <c r="AB184">
        <v>0</v>
      </c>
      <c r="AC184">
        <v>0</v>
      </c>
      <c r="AD184">
        <v>0</v>
      </c>
      <c r="AE184">
        <v>5763</v>
      </c>
      <c r="AF184">
        <v>0</v>
      </c>
      <c r="AG184">
        <v>0</v>
      </c>
      <c r="AH184">
        <v>0</v>
      </c>
      <c r="AI184">
        <v>5.66</v>
      </c>
      <c r="AJ184">
        <v>1</v>
      </c>
      <c r="AK184">
        <v>1</v>
      </c>
      <c r="AL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T184">
        <v>0.13</v>
      </c>
      <c r="AV184">
        <v>0</v>
      </c>
      <c r="AW184">
        <v>1</v>
      </c>
      <c r="AX184">
        <v>-1</v>
      </c>
      <c r="AY184">
        <v>0</v>
      </c>
      <c r="AZ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Y184*Source!I183</f>
        <v>0.10400000000000001</v>
      </c>
      <c r="CY184">
        <f>AA184</f>
        <v>32618.58</v>
      </c>
      <c r="CZ184">
        <f>AE184</f>
        <v>5763</v>
      </c>
      <c r="DA184">
        <f>AI184</f>
        <v>5.66</v>
      </c>
      <c r="DB184">
        <v>0</v>
      </c>
    </row>
    <row r="185" spans="1:106" ht="12.75">
      <c r="A185">
        <f>ROW(Source!A183)</f>
        <v>183</v>
      </c>
      <c r="B185">
        <v>42253831</v>
      </c>
      <c r="C185">
        <v>42255202</v>
      </c>
      <c r="D185">
        <v>36838321</v>
      </c>
      <c r="E185">
        <v>1</v>
      </c>
      <c r="F185">
        <v>1</v>
      </c>
      <c r="G185">
        <v>1</v>
      </c>
      <c r="H185">
        <v>3</v>
      </c>
      <c r="I185" t="s">
        <v>678</v>
      </c>
      <c r="J185" t="s">
        <v>679</v>
      </c>
      <c r="K185" t="s">
        <v>680</v>
      </c>
      <c r="L185">
        <v>1346</v>
      </c>
      <c r="N185">
        <v>1009</v>
      </c>
      <c r="O185" t="s">
        <v>386</v>
      </c>
      <c r="P185" t="s">
        <v>386</v>
      </c>
      <c r="Q185">
        <v>1</v>
      </c>
      <c r="W185">
        <v>0</v>
      </c>
      <c r="X185">
        <v>-1130618203</v>
      </c>
      <c r="Y185">
        <v>2</v>
      </c>
      <c r="AA185">
        <v>1349.8</v>
      </c>
      <c r="AB185">
        <v>0</v>
      </c>
      <c r="AC185">
        <v>0</v>
      </c>
      <c r="AD185">
        <v>0</v>
      </c>
      <c r="AE185">
        <v>238.48</v>
      </c>
      <c r="AF185">
        <v>0</v>
      </c>
      <c r="AG185">
        <v>0</v>
      </c>
      <c r="AH185">
        <v>0</v>
      </c>
      <c r="AI185">
        <v>5.66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T185">
        <v>2</v>
      </c>
      <c r="AV185">
        <v>0</v>
      </c>
      <c r="AW185">
        <v>2</v>
      </c>
      <c r="AX185">
        <v>42255218</v>
      </c>
      <c r="AY185">
        <v>1</v>
      </c>
      <c r="AZ185">
        <v>0</v>
      </c>
      <c r="BA185">
        <v>187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Y185*Source!I183</f>
        <v>1.6</v>
      </c>
      <c r="CY185">
        <f>AA185</f>
        <v>1349.8</v>
      </c>
      <c r="CZ185">
        <f>AE185</f>
        <v>238.48</v>
      </c>
      <c r="DA185">
        <f>AI185</f>
        <v>5.66</v>
      </c>
      <c r="DB185">
        <v>0</v>
      </c>
    </row>
    <row r="186" spans="1:106" ht="12.75">
      <c r="A186">
        <f>ROW(Source!A183)</f>
        <v>183</v>
      </c>
      <c r="B186">
        <v>42253831</v>
      </c>
      <c r="C186">
        <v>42255202</v>
      </c>
      <c r="D186">
        <v>36799065</v>
      </c>
      <c r="E186">
        <v>17</v>
      </c>
      <c r="F186">
        <v>1</v>
      </c>
      <c r="G186">
        <v>1</v>
      </c>
      <c r="H186">
        <v>3</v>
      </c>
      <c r="I186" t="s">
        <v>516</v>
      </c>
      <c r="K186" t="s">
        <v>517</v>
      </c>
      <c r="L186">
        <v>1374</v>
      </c>
      <c r="N186">
        <v>1013</v>
      </c>
      <c r="O186" t="s">
        <v>518</v>
      </c>
      <c r="P186" t="s">
        <v>518</v>
      </c>
      <c r="Q186">
        <v>1</v>
      </c>
      <c r="W186">
        <v>0</v>
      </c>
      <c r="X186">
        <v>-1731369543</v>
      </c>
      <c r="Y186">
        <v>2.01</v>
      </c>
      <c r="AA186">
        <v>19.96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19.96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T186">
        <v>2.01</v>
      </c>
      <c r="AV186">
        <v>0</v>
      </c>
      <c r="AW186">
        <v>2</v>
      </c>
      <c r="AX186">
        <v>42255219</v>
      </c>
      <c r="AY186">
        <v>1</v>
      </c>
      <c r="AZ186">
        <v>0</v>
      </c>
      <c r="BA186">
        <v>188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Y186*Source!I183</f>
        <v>1.6079999999999999</v>
      </c>
      <c r="CY186">
        <f>AA186</f>
        <v>19.96</v>
      </c>
      <c r="CZ186">
        <f>AE186</f>
        <v>1</v>
      </c>
      <c r="DA186">
        <f>AI186</f>
        <v>19.96</v>
      </c>
      <c r="DB186">
        <v>0</v>
      </c>
    </row>
    <row r="187" spans="1:106" ht="12.75">
      <c r="A187">
        <f>ROW(Source!A185)</f>
        <v>185</v>
      </c>
      <c r="B187">
        <v>42253831</v>
      </c>
      <c r="C187">
        <v>42255221</v>
      </c>
      <c r="D187">
        <v>37064878</v>
      </c>
      <c r="E187">
        <v>1</v>
      </c>
      <c r="F187">
        <v>1</v>
      </c>
      <c r="G187">
        <v>1</v>
      </c>
      <c r="H187">
        <v>1</v>
      </c>
      <c r="I187" t="s">
        <v>663</v>
      </c>
      <c r="K187" t="s">
        <v>664</v>
      </c>
      <c r="L187">
        <v>1191</v>
      </c>
      <c r="N187">
        <v>1013</v>
      </c>
      <c r="O187" t="s">
        <v>462</v>
      </c>
      <c r="P187" t="s">
        <v>462</v>
      </c>
      <c r="Q187">
        <v>1</v>
      </c>
      <c r="W187">
        <v>0</v>
      </c>
      <c r="X187">
        <v>-1081351934</v>
      </c>
      <c r="Y187">
        <v>16.6</v>
      </c>
      <c r="AA187">
        <v>0</v>
      </c>
      <c r="AB187">
        <v>0</v>
      </c>
      <c r="AC187">
        <v>0</v>
      </c>
      <c r="AD187">
        <v>187.62</v>
      </c>
      <c r="AE187">
        <v>0</v>
      </c>
      <c r="AF187">
        <v>0</v>
      </c>
      <c r="AG187">
        <v>0</v>
      </c>
      <c r="AH187">
        <v>9.4</v>
      </c>
      <c r="AI187">
        <v>1</v>
      </c>
      <c r="AJ187">
        <v>1</v>
      </c>
      <c r="AK187">
        <v>1</v>
      </c>
      <c r="AL187">
        <v>19.96</v>
      </c>
      <c r="AN187">
        <v>0</v>
      </c>
      <c r="AO187">
        <v>1</v>
      </c>
      <c r="AP187">
        <v>0</v>
      </c>
      <c r="AQ187">
        <v>0</v>
      </c>
      <c r="AR187">
        <v>0</v>
      </c>
      <c r="AT187">
        <v>16.6</v>
      </c>
      <c r="AV187">
        <v>1</v>
      </c>
      <c r="AW187">
        <v>2</v>
      </c>
      <c r="AX187">
        <v>42255231</v>
      </c>
      <c r="AY187">
        <v>1</v>
      </c>
      <c r="AZ187">
        <v>0</v>
      </c>
      <c r="BA187">
        <v>189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Y187*Source!I185</f>
        <v>6.972</v>
      </c>
      <c r="CY187">
        <f>AD187</f>
        <v>187.62</v>
      </c>
      <c r="CZ187">
        <f>AH187</f>
        <v>9.4</v>
      </c>
      <c r="DA187">
        <f>AL187</f>
        <v>19.96</v>
      </c>
      <c r="DB187">
        <v>0</v>
      </c>
    </row>
    <row r="188" spans="1:106" ht="12.75">
      <c r="A188">
        <f>ROW(Source!A185)</f>
        <v>185</v>
      </c>
      <c r="B188">
        <v>42253831</v>
      </c>
      <c r="C188">
        <v>42255221</v>
      </c>
      <c r="D188">
        <v>37064876</v>
      </c>
      <c r="E188">
        <v>1</v>
      </c>
      <c r="F188">
        <v>1</v>
      </c>
      <c r="G188">
        <v>1</v>
      </c>
      <c r="H188">
        <v>1</v>
      </c>
      <c r="I188" t="s">
        <v>465</v>
      </c>
      <c r="K188" t="s">
        <v>466</v>
      </c>
      <c r="L188">
        <v>1191</v>
      </c>
      <c r="N188">
        <v>1013</v>
      </c>
      <c r="O188" t="s">
        <v>462</v>
      </c>
      <c r="P188" t="s">
        <v>462</v>
      </c>
      <c r="Q188">
        <v>1</v>
      </c>
      <c r="W188">
        <v>0</v>
      </c>
      <c r="X188">
        <v>-1417349443</v>
      </c>
      <c r="Y188">
        <v>0.44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19.96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T188">
        <v>0.44</v>
      </c>
      <c r="AV188">
        <v>2</v>
      </c>
      <c r="AW188">
        <v>2</v>
      </c>
      <c r="AX188">
        <v>42255232</v>
      </c>
      <c r="AY188">
        <v>1</v>
      </c>
      <c r="AZ188">
        <v>0</v>
      </c>
      <c r="BA188">
        <v>190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Y188*Source!I185</f>
        <v>0.1848</v>
      </c>
      <c r="CY188">
        <f>AD188</f>
        <v>0</v>
      </c>
      <c r="CZ188">
        <f>AH188</f>
        <v>0</v>
      </c>
      <c r="DA188">
        <f>AL188</f>
        <v>1</v>
      </c>
      <c r="DB188">
        <v>0</v>
      </c>
    </row>
    <row r="189" spans="1:106" ht="12.75">
      <c r="A189">
        <f>ROW(Source!A185)</f>
        <v>185</v>
      </c>
      <c r="B189">
        <v>42253831</v>
      </c>
      <c r="C189">
        <v>42255221</v>
      </c>
      <c r="D189">
        <v>36882159</v>
      </c>
      <c r="E189">
        <v>1</v>
      </c>
      <c r="F189">
        <v>1</v>
      </c>
      <c r="G189">
        <v>1</v>
      </c>
      <c r="H189">
        <v>2</v>
      </c>
      <c r="I189" t="s">
        <v>495</v>
      </c>
      <c r="J189" t="s">
        <v>496</v>
      </c>
      <c r="K189" t="s">
        <v>497</v>
      </c>
      <c r="L189">
        <v>1368</v>
      </c>
      <c r="N189">
        <v>1011</v>
      </c>
      <c r="O189" t="s">
        <v>470</v>
      </c>
      <c r="P189" t="s">
        <v>470</v>
      </c>
      <c r="Q189">
        <v>1</v>
      </c>
      <c r="W189">
        <v>0</v>
      </c>
      <c r="X189">
        <v>-1718674368</v>
      </c>
      <c r="Y189">
        <v>0.22</v>
      </c>
      <c r="AA189">
        <v>0</v>
      </c>
      <c r="AB189">
        <v>796.25</v>
      </c>
      <c r="AC189">
        <v>269.46</v>
      </c>
      <c r="AD189">
        <v>0</v>
      </c>
      <c r="AE189">
        <v>0</v>
      </c>
      <c r="AF189">
        <v>111.99</v>
      </c>
      <c r="AG189">
        <v>13.5</v>
      </c>
      <c r="AH189">
        <v>0</v>
      </c>
      <c r="AI189">
        <v>1</v>
      </c>
      <c r="AJ189">
        <v>7.11</v>
      </c>
      <c r="AK189">
        <v>19.96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T189">
        <v>0.22</v>
      </c>
      <c r="AV189">
        <v>0</v>
      </c>
      <c r="AW189">
        <v>2</v>
      </c>
      <c r="AX189">
        <v>42255233</v>
      </c>
      <c r="AY189">
        <v>1</v>
      </c>
      <c r="AZ189">
        <v>0</v>
      </c>
      <c r="BA189">
        <v>191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Y189*Source!I185</f>
        <v>0.0924</v>
      </c>
      <c r="CY189">
        <f>AB189</f>
        <v>796.25</v>
      </c>
      <c r="CZ189">
        <f>AF189</f>
        <v>111.99</v>
      </c>
      <c r="DA189">
        <f>AJ189</f>
        <v>7.11</v>
      </c>
      <c r="DB189">
        <v>0</v>
      </c>
    </row>
    <row r="190" spans="1:106" ht="12.75">
      <c r="A190">
        <f>ROW(Source!A185)</f>
        <v>185</v>
      </c>
      <c r="B190">
        <v>42253831</v>
      </c>
      <c r="C190">
        <v>42255221</v>
      </c>
      <c r="D190">
        <v>36883554</v>
      </c>
      <c r="E190">
        <v>1</v>
      </c>
      <c r="F190">
        <v>1</v>
      </c>
      <c r="G190">
        <v>1</v>
      </c>
      <c r="H190">
        <v>2</v>
      </c>
      <c r="I190" t="s">
        <v>498</v>
      </c>
      <c r="J190" t="s">
        <v>499</v>
      </c>
      <c r="K190" t="s">
        <v>500</v>
      </c>
      <c r="L190">
        <v>1368</v>
      </c>
      <c r="N190">
        <v>1011</v>
      </c>
      <c r="O190" t="s">
        <v>470</v>
      </c>
      <c r="P190" t="s">
        <v>470</v>
      </c>
      <c r="Q190">
        <v>1</v>
      </c>
      <c r="W190">
        <v>0</v>
      </c>
      <c r="X190">
        <v>1372534845</v>
      </c>
      <c r="Y190">
        <v>0.22</v>
      </c>
      <c r="AA190">
        <v>0</v>
      </c>
      <c r="AB190">
        <v>467.2</v>
      </c>
      <c r="AC190">
        <v>231.54</v>
      </c>
      <c r="AD190">
        <v>0</v>
      </c>
      <c r="AE190">
        <v>0</v>
      </c>
      <c r="AF190">
        <v>65.71</v>
      </c>
      <c r="AG190">
        <v>11.6</v>
      </c>
      <c r="AH190">
        <v>0</v>
      </c>
      <c r="AI190">
        <v>1</v>
      </c>
      <c r="AJ190">
        <v>7.11</v>
      </c>
      <c r="AK190">
        <v>19.96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T190">
        <v>0.22</v>
      </c>
      <c r="AV190">
        <v>0</v>
      </c>
      <c r="AW190">
        <v>2</v>
      </c>
      <c r="AX190">
        <v>42255234</v>
      </c>
      <c r="AY190">
        <v>1</v>
      </c>
      <c r="AZ190">
        <v>0</v>
      </c>
      <c r="BA190">
        <v>192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Y190*Source!I185</f>
        <v>0.0924</v>
      </c>
      <c r="CY190">
        <f>AB190</f>
        <v>467.2</v>
      </c>
      <c r="CZ190">
        <f>AF190</f>
        <v>65.71</v>
      </c>
      <c r="DA190">
        <f>AJ190</f>
        <v>7.11</v>
      </c>
      <c r="DB190">
        <v>0</v>
      </c>
    </row>
    <row r="191" spans="1:106" ht="12.75">
      <c r="A191">
        <f>ROW(Source!A185)</f>
        <v>185</v>
      </c>
      <c r="B191">
        <v>42253831</v>
      </c>
      <c r="C191">
        <v>42255221</v>
      </c>
      <c r="D191">
        <v>36883858</v>
      </c>
      <c r="E191">
        <v>1</v>
      </c>
      <c r="F191">
        <v>1</v>
      </c>
      <c r="G191">
        <v>1</v>
      </c>
      <c r="H191">
        <v>2</v>
      </c>
      <c r="I191" t="s">
        <v>501</v>
      </c>
      <c r="J191" t="s">
        <v>502</v>
      </c>
      <c r="K191" t="s">
        <v>503</v>
      </c>
      <c r="L191">
        <v>1368</v>
      </c>
      <c r="N191">
        <v>1011</v>
      </c>
      <c r="O191" t="s">
        <v>470</v>
      </c>
      <c r="P191" t="s">
        <v>470</v>
      </c>
      <c r="Q191">
        <v>1</v>
      </c>
      <c r="W191">
        <v>0</v>
      </c>
      <c r="X191">
        <v>-353815937</v>
      </c>
      <c r="Y191">
        <v>3.13</v>
      </c>
      <c r="AA191">
        <v>0</v>
      </c>
      <c r="AB191">
        <v>57.59</v>
      </c>
      <c r="AC191">
        <v>0</v>
      </c>
      <c r="AD191">
        <v>0</v>
      </c>
      <c r="AE191">
        <v>0</v>
      </c>
      <c r="AF191">
        <v>8.1</v>
      </c>
      <c r="AG191">
        <v>0</v>
      </c>
      <c r="AH191">
        <v>0</v>
      </c>
      <c r="AI191">
        <v>1</v>
      </c>
      <c r="AJ191">
        <v>7.11</v>
      </c>
      <c r="AK191">
        <v>19.96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T191">
        <v>3.13</v>
      </c>
      <c r="AV191">
        <v>0</v>
      </c>
      <c r="AW191">
        <v>2</v>
      </c>
      <c r="AX191">
        <v>42255235</v>
      </c>
      <c r="AY191">
        <v>1</v>
      </c>
      <c r="AZ191">
        <v>0</v>
      </c>
      <c r="BA191">
        <v>193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Y191*Source!I185</f>
        <v>1.3146</v>
      </c>
      <c r="CY191">
        <f>AB191</f>
        <v>57.59</v>
      </c>
      <c r="CZ191">
        <f>AF191</f>
        <v>8.1</v>
      </c>
      <c r="DA191">
        <f>AJ191</f>
        <v>7.11</v>
      </c>
      <c r="DB191">
        <v>0</v>
      </c>
    </row>
    <row r="192" spans="1:106" ht="12.75">
      <c r="A192">
        <f>ROW(Source!A185)</f>
        <v>185</v>
      </c>
      <c r="B192">
        <v>42253831</v>
      </c>
      <c r="C192">
        <v>42255221</v>
      </c>
      <c r="D192">
        <v>36803258</v>
      </c>
      <c r="E192">
        <v>1</v>
      </c>
      <c r="F192">
        <v>1</v>
      </c>
      <c r="G192">
        <v>1</v>
      </c>
      <c r="H192">
        <v>3</v>
      </c>
      <c r="I192" t="s">
        <v>507</v>
      </c>
      <c r="J192" t="s">
        <v>508</v>
      </c>
      <c r="K192" t="s">
        <v>509</v>
      </c>
      <c r="L192">
        <v>1346</v>
      </c>
      <c r="N192">
        <v>1009</v>
      </c>
      <c r="O192" t="s">
        <v>386</v>
      </c>
      <c r="P192" t="s">
        <v>386</v>
      </c>
      <c r="Q192">
        <v>1</v>
      </c>
      <c r="W192">
        <v>0</v>
      </c>
      <c r="X192">
        <v>586013393</v>
      </c>
      <c r="Y192">
        <v>0.9</v>
      </c>
      <c r="AA192">
        <v>59.83</v>
      </c>
      <c r="AB192">
        <v>0</v>
      </c>
      <c r="AC192">
        <v>0</v>
      </c>
      <c r="AD192">
        <v>0</v>
      </c>
      <c r="AE192">
        <v>10.57</v>
      </c>
      <c r="AF192">
        <v>0</v>
      </c>
      <c r="AG192">
        <v>0</v>
      </c>
      <c r="AH192">
        <v>0</v>
      </c>
      <c r="AI192">
        <v>5.66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T192">
        <v>0.9</v>
      </c>
      <c r="AV192">
        <v>0</v>
      </c>
      <c r="AW192">
        <v>2</v>
      </c>
      <c r="AX192">
        <v>42255236</v>
      </c>
      <c r="AY192">
        <v>1</v>
      </c>
      <c r="AZ192">
        <v>0</v>
      </c>
      <c r="BA192">
        <v>194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Y192*Source!I185</f>
        <v>0.378</v>
      </c>
      <c r="CY192">
        <f>AA192</f>
        <v>59.83</v>
      </c>
      <c r="CZ192">
        <f>AE192</f>
        <v>10.57</v>
      </c>
      <c r="DA192">
        <f>AI192</f>
        <v>5.66</v>
      </c>
      <c r="DB192">
        <v>0</v>
      </c>
    </row>
    <row r="193" spans="1:106" ht="12.75">
      <c r="A193">
        <f>ROW(Source!A185)</f>
        <v>185</v>
      </c>
      <c r="B193">
        <v>42253831</v>
      </c>
      <c r="C193">
        <v>42255221</v>
      </c>
      <c r="D193">
        <v>36825954</v>
      </c>
      <c r="E193">
        <v>1</v>
      </c>
      <c r="F193">
        <v>1</v>
      </c>
      <c r="G193">
        <v>1</v>
      </c>
      <c r="H193">
        <v>3</v>
      </c>
      <c r="I193" t="s">
        <v>311</v>
      </c>
      <c r="J193" t="s">
        <v>313</v>
      </c>
      <c r="K193" t="s">
        <v>312</v>
      </c>
      <c r="L193">
        <v>1348</v>
      </c>
      <c r="N193">
        <v>1009</v>
      </c>
      <c r="O193" t="s">
        <v>246</v>
      </c>
      <c r="P193" t="s">
        <v>246</v>
      </c>
      <c r="Q193">
        <v>1000</v>
      </c>
      <c r="W193">
        <v>0</v>
      </c>
      <c r="X193">
        <v>879274374</v>
      </c>
      <c r="Y193">
        <v>0.13</v>
      </c>
      <c r="AA193">
        <v>34861.19</v>
      </c>
      <c r="AB193">
        <v>0</v>
      </c>
      <c r="AC193">
        <v>0</v>
      </c>
      <c r="AD193">
        <v>0</v>
      </c>
      <c r="AE193">
        <v>6159.22</v>
      </c>
      <c r="AF193">
        <v>0</v>
      </c>
      <c r="AG193">
        <v>0</v>
      </c>
      <c r="AH193">
        <v>0</v>
      </c>
      <c r="AI193">
        <v>5.66</v>
      </c>
      <c r="AJ193">
        <v>1</v>
      </c>
      <c r="AK193">
        <v>1</v>
      </c>
      <c r="AL193">
        <v>1</v>
      </c>
      <c r="AN193">
        <v>0</v>
      </c>
      <c r="AO193">
        <v>0</v>
      </c>
      <c r="AP193">
        <v>0</v>
      </c>
      <c r="AQ193">
        <v>0</v>
      </c>
      <c r="AR193">
        <v>0</v>
      </c>
      <c r="AT193">
        <v>0.13</v>
      </c>
      <c r="AV193">
        <v>0</v>
      </c>
      <c r="AW193">
        <v>1</v>
      </c>
      <c r="AX193">
        <v>-1</v>
      </c>
      <c r="AY193">
        <v>0</v>
      </c>
      <c r="AZ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Y193*Source!I185</f>
        <v>0.0546</v>
      </c>
      <c r="CY193">
        <f>AA193</f>
        <v>34861.19</v>
      </c>
      <c r="CZ193">
        <f>AE193</f>
        <v>6159.22</v>
      </c>
      <c r="DA193">
        <f>AI193</f>
        <v>5.66</v>
      </c>
      <c r="DB193">
        <v>0</v>
      </c>
    </row>
    <row r="194" spans="1:106" ht="12.75">
      <c r="A194">
        <f>ROW(Source!A185)</f>
        <v>185</v>
      </c>
      <c r="B194">
        <v>42253831</v>
      </c>
      <c r="C194">
        <v>42255221</v>
      </c>
      <c r="D194">
        <v>36838321</v>
      </c>
      <c r="E194">
        <v>1</v>
      </c>
      <c r="F194">
        <v>1</v>
      </c>
      <c r="G194">
        <v>1</v>
      </c>
      <c r="H194">
        <v>3</v>
      </c>
      <c r="I194" t="s">
        <v>678</v>
      </c>
      <c r="J194" t="s">
        <v>679</v>
      </c>
      <c r="K194" t="s">
        <v>680</v>
      </c>
      <c r="L194">
        <v>1346</v>
      </c>
      <c r="N194">
        <v>1009</v>
      </c>
      <c r="O194" t="s">
        <v>386</v>
      </c>
      <c r="P194" t="s">
        <v>386</v>
      </c>
      <c r="Q194">
        <v>1</v>
      </c>
      <c r="W194">
        <v>0</v>
      </c>
      <c r="X194">
        <v>-1130618203</v>
      </c>
      <c r="Y194">
        <v>3.7</v>
      </c>
      <c r="AA194">
        <v>1349.8</v>
      </c>
      <c r="AB194">
        <v>0</v>
      </c>
      <c r="AC194">
        <v>0</v>
      </c>
      <c r="AD194">
        <v>0</v>
      </c>
      <c r="AE194">
        <v>238.48</v>
      </c>
      <c r="AF194">
        <v>0</v>
      </c>
      <c r="AG194">
        <v>0</v>
      </c>
      <c r="AH194">
        <v>0</v>
      </c>
      <c r="AI194">
        <v>5.66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T194">
        <v>3.7</v>
      </c>
      <c r="AV194">
        <v>0</v>
      </c>
      <c r="AW194">
        <v>2</v>
      </c>
      <c r="AX194">
        <v>42255237</v>
      </c>
      <c r="AY194">
        <v>1</v>
      </c>
      <c r="AZ194">
        <v>0</v>
      </c>
      <c r="BA194">
        <v>195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Y194*Source!I185</f>
        <v>1.554</v>
      </c>
      <c r="CY194">
        <f>AA194</f>
        <v>1349.8</v>
      </c>
      <c r="CZ194">
        <f>AE194</f>
        <v>238.48</v>
      </c>
      <c r="DA194">
        <f>AI194</f>
        <v>5.66</v>
      </c>
      <c r="DB194">
        <v>0</v>
      </c>
    </row>
    <row r="195" spans="1:106" ht="12.75">
      <c r="A195">
        <f>ROW(Source!A185)</f>
        <v>185</v>
      </c>
      <c r="B195">
        <v>42253831</v>
      </c>
      <c r="C195">
        <v>42255221</v>
      </c>
      <c r="D195">
        <v>36799065</v>
      </c>
      <c r="E195">
        <v>17</v>
      </c>
      <c r="F195">
        <v>1</v>
      </c>
      <c r="G195">
        <v>1</v>
      </c>
      <c r="H195">
        <v>3</v>
      </c>
      <c r="I195" t="s">
        <v>516</v>
      </c>
      <c r="K195" t="s">
        <v>517</v>
      </c>
      <c r="L195">
        <v>1374</v>
      </c>
      <c r="N195">
        <v>1013</v>
      </c>
      <c r="O195" t="s">
        <v>518</v>
      </c>
      <c r="P195" t="s">
        <v>518</v>
      </c>
      <c r="Q195">
        <v>1</v>
      </c>
      <c r="W195">
        <v>0</v>
      </c>
      <c r="X195">
        <v>-1731369543</v>
      </c>
      <c r="Y195">
        <v>3.12</v>
      </c>
      <c r="AA195">
        <v>19.96</v>
      </c>
      <c r="AB195">
        <v>0</v>
      </c>
      <c r="AC195">
        <v>0</v>
      </c>
      <c r="AD195">
        <v>0</v>
      </c>
      <c r="AE195">
        <v>1</v>
      </c>
      <c r="AF195">
        <v>0</v>
      </c>
      <c r="AG195">
        <v>0</v>
      </c>
      <c r="AH195">
        <v>0</v>
      </c>
      <c r="AI195">
        <v>19.96</v>
      </c>
      <c r="AJ195">
        <v>1</v>
      </c>
      <c r="AK195">
        <v>1</v>
      </c>
      <c r="AL195">
        <v>1</v>
      </c>
      <c r="AN195">
        <v>0</v>
      </c>
      <c r="AO195">
        <v>1</v>
      </c>
      <c r="AP195">
        <v>0</v>
      </c>
      <c r="AQ195">
        <v>0</v>
      </c>
      <c r="AR195">
        <v>0</v>
      </c>
      <c r="AT195">
        <v>3.12</v>
      </c>
      <c r="AV195">
        <v>0</v>
      </c>
      <c r="AW195">
        <v>2</v>
      </c>
      <c r="AX195">
        <v>42255238</v>
      </c>
      <c r="AY195">
        <v>1</v>
      </c>
      <c r="AZ195">
        <v>0</v>
      </c>
      <c r="BA195">
        <v>196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Y195*Source!I185</f>
        <v>1.3104</v>
      </c>
      <c r="CY195">
        <f>AA195</f>
        <v>19.96</v>
      </c>
      <c r="CZ195">
        <f>AE195</f>
        <v>1</v>
      </c>
      <c r="DA195">
        <f>AI195</f>
        <v>19.96</v>
      </c>
      <c r="DB195">
        <v>0</v>
      </c>
    </row>
    <row r="196" spans="1:106" ht="12.75">
      <c r="A196">
        <f>ROW(Source!A221)</f>
        <v>221</v>
      </c>
      <c r="B196">
        <v>42253831</v>
      </c>
      <c r="C196">
        <v>42254795</v>
      </c>
      <c r="D196">
        <v>37518712</v>
      </c>
      <c r="E196">
        <v>1</v>
      </c>
      <c r="F196">
        <v>1</v>
      </c>
      <c r="G196">
        <v>1</v>
      </c>
      <c r="H196">
        <v>1</v>
      </c>
      <c r="I196" t="s">
        <v>681</v>
      </c>
      <c r="K196" t="s">
        <v>682</v>
      </c>
      <c r="L196">
        <v>1191</v>
      </c>
      <c r="N196">
        <v>1013</v>
      </c>
      <c r="O196" t="s">
        <v>462</v>
      </c>
      <c r="P196" t="s">
        <v>462</v>
      </c>
      <c r="Q196">
        <v>1</v>
      </c>
      <c r="W196">
        <v>0</v>
      </c>
      <c r="X196">
        <v>-1309109184</v>
      </c>
      <c r="Y196">
        <v>4.32</v>
      </c>
      <c r="AA196">
        <v>0</v>
      </c>
      <c r="AB196">
        <v>0</v>
      </c>
      <c r="AC196">
        <v>0</v>
      </c>
      <c r="AD196">
        <v>183.03</v>
      </c>
      <c r="AE196">
        <v>0</v>
      </c>
      <c r="AF196">
        <v>0</v>
      </c>
      <c r="AG196">
        <v>0</v>
      </c>
      <c r="AH196">
        <v>9.17</v>
      </c>
      <c r="AI196">
        <v>1</v>
      </c>
      <c r="AJ196">
        <v>1</v>
      </c>
      <c r="AK196">
        <v>1</v>
      </c>
      <c r="AL196">
        <v>19.96</v>
      </c>
      <c r="AN196">
        <v>0</v>
      </c>
      <c r="AO196">
        <v>1</v>
      </c>
      <c r="AP196">
        <v>0</v>
      </c>
      <c r="AQ196">
        <v>0</v>
      </c>
      <c r="AR196">
        <v>0</v>
      </c>
      <c r="AT196">
        <v>4.32</v>
      </c>
      <c r="AV196">
        <v>1</v>
      </c>
      <c r="AW196">
        <v>2</v>
      </c>
      <c r="AX196">
        <v>42254798</v>
      </c>
      <c r="AY196">
        <v>1</v>
      </c>
      <c r="AZ196">
        <v>0</v>
      </c>
      <c r="BA196">
        <v>197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Y196*Source!I221</f>
        <v>8.64</v>
      </c>
      <c r="CY196">
        <f aca="true" t="shared" si="6" ref="CY196:CY216">AD196</f>
        <v>183.03</v>
      </c>
      <c r="CZ196">
        <f aca="true" t="shared" si="7" ref="CZ196:CZ216">AH196</f>
        <v>9.17</v>
      </c>
      <c r="DA196">
        <f aca="true" t="shared" si="8" ref="DA196:DA216">AL196</f>
        <v>19.96</v>
      </c>
      <c r="DB196">
        <v>0</v>
      </c>
    </row>
    <row r="197" spans="1:106" ht="12.75">
      <c r="A197">
        <f>ROW(Source!A221)</f>
        <v>221</v>
      </c>
      <c r="B197">
        <v>42253831</v>
      </c>
      <c r="C197">
        <v>42254795</v>
      </c>
      <c r="D197">
        <v>37518714</v>
      </c>
      <c r="E197">
        <v>1</v>
      </c>
      <c r="F197">
        <v>1</v>
      </c>
      <c r="G197">
        <v>1</v>
      </c>
      <c r="H197">
        <v>1</v>
      </c>
      <c r="I197" t="s">
        <v>683</v>
      </c>
      <c r="K197" t="s">
        <v>684</v>
      </c>
      <c r="L197">
        <v>1191</v>
      </c>
      <c r="N197">
        <v>1013</v>
      </c>
      <c r="O197" t="s">
        <v>462</v>
      </c>
      <c r="P197" t="s">
        <v>462</v>
      </c>
      <c r="Q197">
        <v>1</v>
      </c>
      <c r="W197">
        <v>0</v>
      </c>
      <c r="X197">
        <v>-876358395</v>
      </c>
      <c r="Y197">
        <v>6.48</v>
      </c>
      <c r="AA197">
        <v>0</v>
      </c>
      <c r="AB197">
        <v>0</v>
      </c>
      <c r="AC197">
        <v>0</v>
      </c>
      <c r="AD197">
        <v>309.18</v>
      </c>
      <c r="AE197">
        <v>0</v>
      </c>
      <c r="AF197">
        <v>0</v>
      </c>
      <c r="AG197">
        <v>0</v>
      </c>
      <c r="AH197">
        <v>15.49</v>
      </c>
      <c r="AI197">
        <v>1</v>
      </c>
      <c r="AJ197">
        <v>1</v>
      </c>
      <c r="AK197">
        <v>1</v>
      </c>
      <c r="AL197">
        <v>19.96</v>
      </c>
      <c r="AN197">
        <v>0</v>
      </c>
      <c r="AO197">
        <v>1</v>
      </c>
      <c r="AP197">
        <v>0</v>
      </c>
      <c r="AQ197">
        <v>0</v>
      </c>
      <c r="AR197">
        <v>0</v>
      </c>
      <c r="AT197">
        <v>6.48</v>
      </c>
      <c r="AV197">
        <v>1</v>
      </c>
      <c r="AW197">
        <v>2</v>
      </c>
      <c r="AX197">
        <v>42254799</v>
      </c>
      <c r="AY197">
        <v>1</v>
      </c>
      <c r="AZ197">
        <v>0</v>
      </c>
      <c r="BA197">
        <v>198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Y197*Source!I221</f>
        <v>12.96</v>
      </c>
      <c r="CY197">
        <f t="shared" si="6"/>
        <v>309.18</v>
      </c>
      <c r="CZ197">
        <f t="shared" si="7"/>
        <v>15.49</v>
      </c>
      <c r="DA197">
        <f t="shared" si="8"/>
        <v>19.96</v>
      </c>
      <c r="DB197">
        <v>0</v>
      </c>
    </row>
    <row r="198" spans="1:106" ht="12.75">
      <c r="A198">
        <f>ROW(Source!A222)</f>
        <v>222</v>
      </c>
      <c r="B198">
        <v>42253831</v>
      </c>
      <c r="C198">
        <v>42254800</v>
      </c>
      <c r="D198">
        <v>37518963</v>
      </c>
      <c r="E198">
        <v>1</v>
      </c>
      <c r="F198">
        <v>1</v>
      </c>
      <c r="G198">
        <v>1</v>
      </c>
      <c r="H198">
        <v>1</v>
      </c>
      <c r="I198" t="s">
        <v>685</v>
      </c>
      <c r="K198" t="s">
        <v>686</v>
      </c>
      <c r="L198">
        <v>1191</v>
      </c>
      <c r="N198">
        <v>1013</v>
      </c>
      <c r="O198" t="s">
        <v>462</v>
      </c>
      <c r="P198" t="s">
        <v>462</v>
      </c>
      <c r="Q198">
        <v>1</v>
      </c>
      <c r="W198">
        <v>0</v>
      </c>
      <c r="X198">
        <v>1197411217</v>
      </c>
      <c r="Y198">
        <v>2.92</v>
      </c>
      <c r="AA198">
        <v>0</v>
      </c>
      <c r="AB198">
        <v>0</v>
      </c>
      <c r="AC198">
        <v>0</v>
      </c>
      <c r="AD198">
        <v>192.02</v>
      </c>
      <c r="AE198">
        <v>0</v>
      </c>
      <c r="AF198">
        <v>0</v>
      </c>
      <c r="AG198">
        <v>0</v>
      </c>
      <c r="AH198">
        <v>9.62</v>
      </c>
      <c r="AI198">
        <v>1</v>
      </c>
      <c r="AJ198">
        <v>1</v>
      </c>
      <c r="AK198">
        <v>1</v>
      </c>
      <c r="AL198">
        <v>19.96</v>
      </c>
      <c r="AN198">
        <v>0</v>
      </c>
      <c r="AO198">
        <v>1</v>
      </c>
      <c r="AP198">
        <v>0</v>
      </c>
      <c r="AQ198">
        <v>0</v>
      </c>
      <c r="AR198">
        <v>0</v>
      </c>
      <c r="AT198">
        <v>2.92</v>
      </c>
      <c r="AV198">
        <v>1</v>
      </c>
      <c r="AW198">
        <v>2</v>
      </c>
      <c r="AX198">
        <v>42254803</v>
      </c>
      <c r="AY198">
        <v>1</v>
      </c>
      <c r="AZ198">
        <v>0</v>
      </c>
      <c r="BA198">
        <v>199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Y198*Source!I222</f>
        <v>2.92</v>
      </c>
      <c r="CY198">
        <f t="shared" si="6"/>
        <v>192.02</v>
      </c>
      <c r="CZ198">
        <f t="shared" si="7"/>
        <v>9.62</v>
      </c>
      <c r="DA198">
        <f t="shared" si="8"/>
        <v>19.96</v>
      </c>
      <c r="DB198">
        <v>0</v>
      </c>
    </row>
    <row r="199" spans="1:106" ht="12.75">
      <c r="A199">
        <f>ROW(Source!A222)</f>
        <v>222</v>
      </c>
      <c r="B199">
        <v>42253831</v>
      </c>
      <c r="C199">
        <v>42254800</v>
      </c>
      <c r="D199">
        <v>37518716</v>
      </c>
      <c r="E199">
        <v>1</v>
      </c>
      <c r="F199">
        <v>1</v>
      </c>
      <c r="G199">
        <v>1</v>
      </c>
      <c r="H199">
        <v>1</v>
      </c>
      <c r="I199" t="s">
        <v>687</v>
      </c>
      <c r="K199" t="s">
        <v>688</v>
      </c>
      <c r="L199">
        <v>1191</v>
      </c>
      <c r="N199">
        <v>1013</v>
      </c>
      <c r="O199" t="s">
        <v>462</v>
      </c>
      <c r="P199" t="s">
        <v>462</v>
      </c>
      <c r="Q199">
        <v>1</v>
      </c>
      <c r="W199">
        <v>0</v>
      </c>
      <c r="X199">
        <v>1776637054</v>
      </c>
      <c r="Y199">
        <v>4.37</v>
      </c>
      <c r="AA199">
        <v>0</v>
      </c>
      <c r="AB199">
        <v>0</v>
      </c>
      <c r="AC199">
        <v>0</v>
      </c>
      <c r="AD199">
        <v>253.29</v>
      </c>
      <c r="AE199">
        <v>0</v>
      </c>
      <c r="AF199">
        <v>0</v>
      </c>
      <c r="AG199">
        <v>0</v>
      </c>
      <c r="AH199">
        <v>12.69</v>
      </c>
      <c r="AI199">
        <v>1</v>
      </c>
      <c r="AJ199">
        <v>1</v>
      </c>
      <c r="AK199">
        <v>1</v>
      </c>
      <c r="AL199">
        <v>19.96</v>
      </c>
      <c r="AN199">
        <v>0</v>
      </c>
      <c r="AO199">
        <v>1</v>
      </c>
      <c r="AP199">
        <v>0</v>
      </c>
      <c r="AQ199">
        <v>0</v>
      </c>
      <c r="AR199">
        <v>0</v>
      </c>
      <c r="AT199">
        <v>4.37</v>
      </c>
      <c r="AV199">
        <v>1</v>
      </c>
      <c r="AW199">
        <v>2</v>
      </c>
      <c r="AX199">
        <v>42254804</v>
      </c>
      <c r="AY199">
        <v>1</v>
      </c>
      <c r="AZ199">
        <v>0</v>
      </c>
      <c r="BA199">
        <v>200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Y199*Source!I222</f>
        <v>4.37</v>
      </c>
      <c r="CY199">
        <f t="shared" si="6"/>
        <v>253.29</v>
      </c>
      <c r="CZ199">
        <f t="shared" si="7"/>
        <v>12.69</v>
      </c>
      <c r="DA199">
        <f t="shared" si="8"/>
        <v>19.96</v>
      </c>
      <c r="DB199">
        <v>0</v>
      </c>
    </row>
    <row r="200" spans="1:106" ht="12.75">
      <c r="A200">
        <f>ROW(Source!A223)</f>
        <v>223</v>
      </c>
      <c r="B200">
        <v>42253831</v>
      </c>
      <c r="C200">
        <v>42254805</v>
      </c>
      <c r="D200">
        <v>37518712</v>
      </c>
      <c r="E200">
        <v>1</v>
      </c>
      <c r="F200">
        <v>1</v>
      </c>
      <c r="G200">
        <v>1</v>
      </c>
      <c r="H200">
        <v>1</v>
      </c>
      <c r="I200" t="s">
        <v>681</v>
      </c>
      <c r="K200" t="s">
        <v>682</v>
      </c>
      <c r="L200">
        <v>1191</v>
      </c>
      <c r="N200">
        <v>1013</v>
      </c>
      <c r="O200" t="s">
        <v>462</v>
      </c>
      <c r="P200" t="s">
        <v>462</v>
      </c>
      <c r="Q200">
        <v>1</v>
      </c>
      <c r="W200">
        <v>0</v>
      </c>
      <c r="X200">
        <v>-1309109184</v>
      </c>
      <c r="Y200">
        <v>0.54</v>
      </c>
      <c r="AA200">
        <v>0</v>
      </c>
      <c r="AB200">
        <v>0</v>
      </c>
      <c r="AC200">
        <v>0</v>
      </c>
      <c r="AD200">
        <v>183.03</v>
      </c>
      <c r="AE200">
        <v>0</v>
      </c>
      <c r="AF200">
        <v>0</v>
      </c>
      <c r="AG200">
        <v>0</v>
      </c>
      <c r="AH200">
        <v>9.17</v>
      </c>
      <c r="AI200">
        <v>1</v>
      </c>
      <c r="AJ200">
        <v>1</v>
      </c>
      <c r="AK200">
        <v>1</v>
      </c>
      <c r="AL200">
        <v>19.96</v>
      </c>
      <c r="AN200">
        <v>0</v>
      </c>
      <c r="AO200">
        <v>1</v>
      </c>
      <c r="AP200">
        <v>0</v>
      </c>
      <c r="AQ200">
        <v>0</v>
      </c>
      <c r="AR200">
        <v>0</v>
      </c>
      <c r="AT200">
        <v>0.54</v>
      </c>
      <c r="AV200">
        <v>1</v>
      </c>
      <c r="AW200">
        <v>2</v>
      </c>
      <c r="AX200">
        <v>42254808</v>
      </c>
      <c r="AY200">
        <v>1</v>
      </c>
      <c r="AZ200">
        <v>0</v>
      </c>
      <c r="BA200">
        <v>201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Y200*Source!I223</f>
        <v>5.4</v>
      </c>
      <c r="CY200">
        <f t="shared" si="6"/>
        <v>183.03</v>
      </c>
      <c r="CZ200">
        <f t="shared" si="7"/>
        <v>9.17</v>
      </c>
      <c r="DA200">
        <f t="shared" si="8"/>
        <v>19.96</v>
      </c>
      <c r="DB200">
        <v>0</v>
      </c>
    </row>
    <row r="201" spans="1:106" ht="12.75">
      <c r="A201">
        <f>ROW(Source!A223)</f>
        <v>223</v>
      </c>
      <c r="B201">
        <v>42253831</v>
      </c>
      <c r="C201">
        <v>42254805</v>
      </c>
      <c r="D201">
        <v>37518766</v>
      </c>
      <c r="E201">
        <v>1</v>
      </c>
      <c r="F201">
        <v>1</v>
      </c>
      <c r="G201">
        <v>1</v>
      </c>
      <c r="H201">
        <v>1</v>
      </c>
      <c r="I201" t="s">
        <v>689</v>
      </c>
      <c r="K201" t="s">
        <v>690</v>
      </c>
      <c r="L201">
        <v>1191</v>
      </c>
      <c r="N201">
        <v>1013</v>
      </c>
      <c r="O201" t="s">
        <v>462</v>
      </c>
      <c r="P201" t="s">
        <v>462</v>
      </c>
      <c r="Q201">
        <v>1</v>
      </c>
      <c r="W201">
        <v>0</v>
      </c>
      <c r="X201">
        <v>1818203118</v>
      </c>
      <c r="Y201">
        <v>0.81</v>
      </c>
      <c r="AA201">
        <v>0</v>
      </c>
      <c r="AB201">
        <v>0</v>
      </c>
      <c r="AC201">
        <v>0</v>
      </c>
      <c r="AD201">
        <v>281.24</v>
      </c>
      <c r="AE201">
        <v>0</v>
      </c>
      <c r="AF201">
        <v>0</v>
      </c>
      <c r="AG201">
        <v>0</v>
      </c>
      <c r="AH201">
        <v>14.09</v>
      </c>
      <c r="AI201">
        <v>1</v>
      </c>
      <c r="AJ201">
        <v>1</v>
      </c>
      <c r="AK201">
        <v>1</v>
      </c>
      <c r="AL201">
        <v>19.96</v>
      </c>
      <c r="AN201">
        <v>0</v>
      </c>
      <c r="AO201">
        <v>1</v>
      </c>
      <c r="AP201">
        <v>0</v>
      </c>
      <c r="AQ201">
        <v>0</v>
      </c>
      <c r="AR201">
        <v>0</v>
      </c>
      <c r="AT201">
        <v>0.81</v>
      </c>
      <c r="AV201">
        <v>1</v>
      </c>
      <c r="AW201">
        <v>2</v>
      </c>
      <c r="AX201">
        <v>42254809</v>
      </c>
      <c r="AY201">
        <v>1</v>
      </c>
      <c r="AZ201">
        <v>0</v>
      </c>
      <c r="BA201">
        <v>202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Y201*Source!I223</f>
        <v>8.100000000000001</v>
      </c>
      <c r="CY201">
        <f t="shared" si="6"/>
        <v>281.24</v>
      </c>
      <c r="CZ201">
        <f t="shared" si="7"/>
        <v>14.09</v>
      </c>
      <c r="DA201">
        <f t="shared" si="8"/>
        <v>19.96</v>
      </c>
      <c r="DB201">
        <v>0</v>
      </c>
    </row>
    <row r="202" spans="1:106" ht="12.75">
      <c r="A202">
        <f>ROW(Source!A224)</f>
        <v>224</v>
      </c>
      <c r="B202">
        <v>42253831</v>
      </c>
      <c r="C202">
        <v>42254810</v>
      </c>
      <c r="D202">
        <v>37518710</v>
      </c>
      <c r="E202">
        <v>1</v>
      </c>
      <c r="F202">
        <v>1</v>
      </c>
      <c r="G202">
        <v>1</v>
      </c>
      <c r="H202">
        <v>1</v>
      </c>
      <c r="I202" t="s">
        <v>691</v>
      </c>
      <c r="K202" t="s">
        <v>692</v>
      </c>
      <c r="L202">
        <v>1191</v>
      </c>
      <c r="N202">
        <v>1013</v>
      </c>
      <c r="O202" t="s">
        <v>462</v>
      </c>
      <c r="P202" t="s">
        <v>462</v>
      </c>
      <c r="Q202">
        <v>1</v>
      </c>
      <c r="W202">
        <v>0</v>
      </c>
      <c r="X202">
        <v>217730700</v>
      </c>
      <c r="Y202">
        <v>0.97</v>
      </c>
      <c r="AA202">
        <v>0</v>
      </c>
      <c r="AB202">
        <v>0</v>
      </c>
      <c r="AC202">
        <v>0</v>
      </c>
      <c r="AD202">
        <v>221.36</v>
      </c>
      <c r="AE202">
        <v>0</v>
      </c>
      <c r="AF202">
        <v>0</v>
      </c>
      <c r="AG202">
        <v>0</v>
      </c>
      <c r="AH202">
        <v>11.09</v>
      </c>
      <c r="AI202">
        <v>1</v>
      </c>
      <c r="AJ202">
        <v>1</v>
      </c>
      <c r="AK202">
        <v>1</v>
      </c>
      <c r="AL202">
        <v>19.96</v>
      </c>
      <c r="AN202">
        <v>0</v>
      </c>
      <c r="AO202">
        <v>1</v>
      </c>
      <c r="AP202">
        <v>0</v>
      </c>
      <c r="AQ202">
        <v>0</v>
      </c>
      <c r="AR202">
        <v>0</v>
      </c>
      <c r="AT202">
        <v>0.97</v>
      </c>
      <c r="AV202">
        <v>1</v>
      </c>
      <c r="AW202">
        <v>2</v>
      </c>
      <c r="AX202">
        <v>42254813</v>
      </c>
      <c r="AY202">
        <v>1</v>
      </c>
      <c r="AZ202">
        <v>0</v>
      </c>
      <c r="BA202">
        <v>203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Y202*Source!I224</f>
        <v>7.76</v>
      </c>
      <c r="CY202">
        <f t="shared" si="6"/>
        <v>221.36</v>
      </c>
      <c r="CZ202">
        <f t="shared" si="7"/>
        <v>11.09</v>
      </c>
      <c r="DA202">
        <f t="shared" si="8"/>
        <v>19.96</v>
      </c>
      <c r="DB202">
        <v>0</v>
      </c>
    </row>
    <row r="203" spans="1:106" ht="12.75">
      <c r="A203">
        <f>ROW(Source!A224)</f>
        <v>224</v>
      </c>
      <c r="B203">
        <v>42253831</v>
      </c>
      <c r="C203">
        <v>42254810</v>
      </c>
      <c r="D203">
        <v>37518766</v>
      </c>
      <c r="E203">
        <v>1</v>
      </c>
      <c r="F203">
        <v>1</v>
      </c>
      <c r="G203">
        <v>1</v>
      </c>
      <c r="H203">
        <v>1</v>
      </c>
      <c r="I203" t="s">
        <v>689</v>
      </c>
      <c r="K203" t="s">
        <v>690</v>
      </c>
      <c r="L203">
        <v>1191</v>
      </c>
      <c r="N203">
        <v>1013</v>
      </c>
      <c r="O203" t="s">
        <v>462</v>
      </c>
      <c r="P203" t="s">
        <v>462</v>
      </c>
      <c r="Q203">
        <v>1</v>
      </c>
      <c r="W203">
        <v>0</v>
      </c>
      <c r="X203">
        <v>1818203118</v>
      </c>
      <c r="Y203">
        <v>1.46</v>
      </c>
      <c r="AA203">
        <v>0</v>
      </c>
      <c r="AB203">
        <v>0</v>
      </c>
      <c r="AC203">
        <v>0</v>
      </c>
      <c r="AD203">
        <v>281.24</v>
      </c>
      <c r="AE203">
        <v>0</v>
      </c>
      <c r="AF203">
        <v>0</v>
      </c>
      <c r="AG203">
        <v>0</v>
      </c>
      <c r="AH203">
        <v>14.09</v>
      </c>
      <c r="AI203">
        <v>1</v>
      </c>
      <c r="AJ203">
        <v>1</v>
      </c>
      <c r="AK203">
        <v>1</v>
      </c>
      <c r="AL203">
        <v>19.96</v>
      </c>
      <c r="AN203">
        <v>0</v>
      </c>
      <c r="AO203">
        <v>1</v>
      </c>
      <c r="AP203">
        <v>0</v>
      </c>
      <c r="AQ203">
        <v>0</v>
      </c>
      <c r="AR203">
        <v>0</v>
      </c>
      <c r="AT203">
        <v>1.46</v>
      </c>
      <c r="AV203">
        <v>1</v>
      </c>
      <c r="AW203">
        <v>2</v>
      </c>
      <c r="AX203">
        <v>42254814</v>
      </c>
      <c r="AY203">
        <v>1</v>
      </c>
      <c r="AZ203">
        <v>0</v>
      </c>
      <c r="BA203">
        <v>204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Y203*Source!I224</f>
        <v>11.68</v>
      </c>
      <c r="CY203">
        <f t="shared" si="6"/>
        <v>281.24</v>
      </c>
      <c r="CZ203">
        <f t="shared" si="7"/>
        <v>14.09</v>
      </c>
      <c r="DA203">
        <f t="shared" si="8"/>
        <v>19.96</v>
      </c>
      <c r="DB203">
        <v>0</v>
      </c>
    </row>
    <row r="204" spans="1:106" ht="12.75">
      <c r="A204">
        <f>ROW(Source!A225)</f>
        <v>225</v>
      </c>
      <c r="B204">
        <v>42253831</v>
      </c>
      <c r="C204">
        <v>42254815</v>
      </c>
      <c r="D204">
        <v>37518710</v>
      </c>
      <c r="E204">
        <v>1</v>
      </c>
      <c r="F204">
        <v>1</v>
      </c>
      <c r="G204">
        <v>1</v>
      </c>
      <c r="H204">
        <v>1</v>
      </c>
      <c r="I204" t="s">
        <v>691</v>
      </c>
      <c r="K204" t="s">
        <v>692</v>
      </c>
      <c r="L204">
        <v>1191</v>
      </c>
      <c r="N204">
        <v>1013</v>
      </c>
      <c r="O204" t="s">
        <v>462</v>
      </c>
      <c r="P204" t="s">
        <v>462</v>
      </c>
      <c r="Q204">
        <v>1</v>
      </c>
      <c r="W204">
        <v>0</v>
      </c>
      <c r="X204">
        <v>217730700</v>
      </c>
      <c r="Y204">
        <v>0.65</v>
      </c>
      <c r="AA204">
        <v>0</v>
      </c>
      <c r="AB204">
        <v>0</v>
      </c>
      <c r="AC204">
        <v>0</v>
      </c>
      <c r="AD204">
        <v>221.36</v>
      </c>
      <c r="AE204">
        <v>0</v>
      </c>
      <c r="AF204">
        <v>0</v>
      </c>
      <c r="AG204">
        <v>0</v>
      </c>
      <c r="AH204">
        <v>11.09</v>
      </c>
      <c r="AI204">
        <v>1</v>
      </c>
      <c r="AJ204">
        <v>1</v>
      </c>
      <c r="AK204">
        <v>1</v>
      </c>
      <c r="AL204">
        <v>19.96</v>
      </c>
      <c r="AN204">
        <v>0</v>
      </c>
      <c r="AO204">
        <v>1</v>
      </c>
      <c r="AP204">
        <v>0</v>
      </c>
      <c r="AQ204">
        <v>0</v>
      </c>
      <c r="AR204">
        <v>0</v>
      </c>
      <c r="AT204">
        <v>0.65</v>
      </c>
      <c r="AV204">
        <v>1</v>
      </c>
      <c r="AW204">
        <v>2</v>
      </c>
      <c r="AX204">
        <v>42254818</v>
      </c>
      <c r="AY204">
        <v>1</v>
      </c>
      <c r="AZ204">
        <v>0</v>
      </c>
      <c r="BA204">
        <v>205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Y204*Source!I225</f>
        <v>5.2</v>
      </c>
      <c r="CY204">
        <f t="shared" si="6"/>
        <v>221.36</v>
      </c>
      <c r="CZ204">
        <f t="shared" si="7"/>
        <v>11.09</v>
      </c>
      <c r="DA204">
        <f t="shared" si="8"/>
        <v>19.96</v>
      </c>
      <c r="DB204">
        <v>0</v>
      </c>
    </row>
    <row r="205" spans="1:106" ht="12.75">
      <c r="A205">
        <f>ROW(Source!A225)</f>
        <v>225</v>
      </c>
      <c r="B205">
        <v>42253831</v>
      </c>
      <c r="C205">
        <v>42254815</v>
      </c>
      <c r="D205">
        <v>37518766</v>
      </c>
      <c r="E205">
        <v>1</v>
      </c>
      <c r="F205">
        <v>1</v>
      </c>
      <c r="G205">
        <v>1</v>
      </c>
      <c r="H205">
        <v>1</v>
      </c>
      <c r="I205" t="s">
        <v>689</v>
      </c>
      <c r="K205" t="s">
        <v>690</v>
      </c>
      <c r="L205">
        <v>1191</v>
      </c>
      <c r="N205">
        <v>1013</v>
      </c>
      <c r="O205" t="s">
        <v>462</v>
      </c>
      <c r="P205" t="s">
        <v>462</v>
      </c>
      <c r="Q205">
        <v>1</v>
      </c>
      <c r="W205">
        <v>0</v>
      </c>
      <c r="X205">
        <v>1818203118</v>
      </c>
      <c r="Y205">
        <v>0.97</v>
      </c>
      <c r="AA205">
        <v>0</v>
      </c>
      <c r="AB205">
        <v>0</v>
      </c>
      <c r="AC205">
        <v>0</v>
      </c>
      <c r="AD205">
        <v>281.24</v>
      </c>
      <c r="AE205">
        <v>0</v>
      </c>
      <c r="AF205">
        <v>0</v>
      </c>
      <c r="AG205">
        <v>0</v>
      </c>
      <c r="AH205">
        <v>14.09</v>
      </c>
      <c r="AI205">
        <v>1</v>
      </c>
      <c r="AJ205">
        <v>1</v>
      </c>
      <c r="AK205">
        <v>1</v>
      </c>
      <c r="AL205">
        <v>19.96</v>
      </c>
      <c r="AN205">
        <v>0</v>
      </c>
      <c r="AO205">
        <v>1</v>
      </c>
      <c r="AP205">
        <v>0</v>
      </c>
      <c r="AQ205">
        <v>0</v>
      </c>
      <c r="AR205">
        <v>0</v>
      </c>
      <c r="AT205">
        <v>0.97</v>
      </c>
      <c r="AV205">
        <v>1</v>
      </c>
      <c r="AW205">
        <v>2</v>
      </c>
      <c r="AX205">
        <v>42254819</v>
      </c>
      <c r="AY205">
        <v>1</v>
      </c>
      <c r="AZ205">
        <v>0</v>
      </c>
      <c r="BA205">
        <v>206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Y205*Source!I225</f>
        <v>7.76</v>
      </c>
      <c r="CY205">
        <f t="shared" si="6"/>
        <v>281.24</v>
      </c>
      <c r="CZ205">
        <f t="shared" si="7"/>
        <v>14.09</v>
      </c>
      <c r="DA205">
        <f t="shared" si="8"/>
        <v>19.96</v>
      </c>
      <c r="DB205">
        <v>0</v>
      </c>
    </row>
    <row r="206" spans="1:106" ht="12.75">
      <c r="A206">
        <f>ROW(Source!A226)</f>
        <v>226</v>
      </c>
      <c r="B206">
        <v>42253831</v>
      </c>
      <c r="C206">
        <v>42254820</v>
      </c>
      <c r="D206">
        <v>37518963</v>
      </c>
      <c r="E206">
        <v>1</v>
      </c>
      <c r="F206">
        <v>1</v>
      </c>
      <c r="G206">
        <v>1</v>
      </c>
      <c r="H206">
        <v>1</v>
      </c>
      <c r="I206" t="s">
        <v>685</v>
      </c>
      <c r="K206" t="s">
        <v>686</v>
      </c>
      <c r="L206">
        <v>1191</v>
      </c>
      <c r="N206">
        <v>1013</v>
      </c>
      <c r="O206" t="s">
        <v>462</v>
      </c>
      <c r="P206" t="s">
        <v>462</v>
      </c>
      <c r="Q206">
        <v>1</v>
      </c>
      <c r="W206">
        <v>0</v>
      </c>
      <c r="X206">
        <v>1197411217</v>
      </c>
      <c r="Y206">
        <v>7.2</v>
      </c>
      <c r="AA206">
        <v>0</v>
      </c>
      <c r="AB206">
        <v>0</v>
      </c>
      <c r="AC206">
        <v>0</v>
      </c>
      <c r="AD206">
        <v>192.02</v>
      </c>
      <c r="AE206">
        <v>0</v>
      </c>
      <c r="AF206">
        <v>0</v>
      </c>
      <c r="AG206">
        <v>0</v>
      </c>
      <c r="AH206">
        <v>9.62</v>
      </c>
      <c r="AI206">
        <v>1</v>
      </c>
      <c r="AJ206">
        <v>1</v>
      </c>
      <c r="AK206">
        <v>1</v>
      </c>
      <c r="AL206">
        <v>19.96</v>
      </c>
      <c r="AN206">
        <v>0</v>
      </c>
      <c r="AO206">
        <v>1</v>
      </c>
      <c r="AP206">
        <v>0</v>
      </c>
      <c r="AQ206">
        <v>0</v>
      </c>
      <c r="AR206">
        <v>0</v>
      </c>
      <c r="AT206">
        <v>7.2</v>
      </c>
      <c r="AV206">
        <v>1</v>
      </c>
      <c r="AW206">
        <v>2</v>
      </c>
      <c r="AX206">
        <v>42254823</v>
      </c>
      <c r="AY206">
        <v>1</v>
      </c>
      <c r="AZ206">
        <v>0</v>
      </c>
      <c r="BA206">
        <v>207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Y206*Source!I226</f>
        <v>14.4</v>
      </c>
      <c r="CY206">
        <f t="shared" si="6"/>
        <v>192.02</v>
      </c>
      <c r="CZ206">
        <f t="shared" si="7"/>
        <v>9.62</v>
      </c>
      <c r="DA206">
        <f t="shared" si="8"/>
        <v>19.96</v>
      </c>
      <c r="DB206">
        <v>0</v>
      </c>
    </row>
    <row r="207" spans="1:106" ht="12.75">
      <c r="A207">
        <f>ROW(Source!A226)</f>
        <v>226</v>
      </c>
      <c r="B207">
        <v>42253831</v>
      </c>
      <c r="C207">
        <v>42254820</v>
      </c>
      <c r="D207">
        <v>37518712</v>
      </c>
      <c r="E207">
        <v>1</v>
      </c>
      <c r="F207">
        <v>1</v>
      </c>
      <c r="G207">
        <v>1</v>
      </c>
      <c r="H207">
        <v>1</v>
      </c>
      <c r="I207" t="s">
        <v>681</v>
      </c>
      <c r="K207" t="s">
        <v>682</v>
      </c>
      <c r="L207">
        <v>1191</v>
      </c>
      <c r="N207">
        <v>1013</v>
      </c>
      <c r="O207" t="s">
        <v>462</v>
      </c>
      <c r="P207" t="s">
        <v>462</v>
      </c>
      <c r="Q207">
        <v>1</v>
      </c>
      <c r="W207">
        <v>0</v>
      </c>
      <c r="X207">
        <v>-1309109184</v>
      </c>
      <c r="Y207">
        <v>7.2</v>
      </c>
      <c r="AA207">
        <v>0</v>
      </c>
      <c r="AB207">
        <v>0</v>
      </c>
      <c r="AC207">
        <v>0</v>
      </c>
      <c r="AD207">
        <v>183.03</v>
      </c>
      <c r="AE207">
        <v>0</v>
      </c>
      <c r="AF207">
        <v>0</v>
      </c>
      <c r="AG207">
        <v>0</v>
      </c>
      <c r="AH207">
        <v>9.17</v>
      </c>
      <c r="AI207">
        <v>1</v>
      </c>
      <c r="AJ207">
        <v>1</v>
      </c>
      <c r="AK207">
        <v>1</v>
      </c>
      <c r="AL207">
        <v>19.96</v>
      </c>
      <c r="AN207">
        <v>0</v>
      </c>
      <c r="AO207">
        <v>1</v>
      </c>
      <c r="AP207">
        <v>0</v>
      </c>
      <c r="AQ207">
        <v>0</v>
      </c>
      <c r="AR207">
        <v>0</v>
      </c>
      <c r="AT207">
        <v>7.2</v>
      </c>
      <c r="AV207">
        <v>1</v>
      </c>
      <c r="AW207">
        <v>2</v>
      </c>
      <c r="AX207">
        <v>42254824</v>
      </c>
      <c r="AY207">
        <v>1</v>
      </c>
      <c r="AZ207">
        <v>0</v>
      </c>
      <c r="BA207">
        <v>208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Y207*Source!I226</f>
        <v>14.4</v>
      </c>
      <c r="CY207">
        <f t="shared" si="6"/>
        <v>183.03</v>
      </c>
      <c r="CZ207">
        <f t="shared" si="7"/>
        <v>9.17</v>
      </c>
      <c r="DA207">
        <f t="shared" si="8"/>
        <v>19.96</v>
      </c>
      <c r="DB207">
        <v>0</v>
      </c>
    </row>
    <row r="208" spans="1:106" ht="12.75">
      <c r="A208">
        <f>ROW(Source!A261)</f>
        <v>261</v>
      </c>
      <c r="B208">
        <v>42253831</v>
      </c>
      <c r="C208">
        <v>42255240</v>
      </c>
      <c r="D208">
        <v>37519679</v>
      </c>
      <c r="E208">
        <v>1</v>
      </c>
      <c r="F208">
        <v>1</v>
      </c>
      <c r="G208">
        <v>1</v>
      </c>
      <c r="H208">
        <v>1</v>
      </c>
      <c r="I208" t="s">
        <v>693</v>
      </c>
      <c r="K208" t="s">
        <v>694</v>
      </c>
      <c r="L208">
        <v>1191</v>
      </c>
      <c r="N208">
        <v>1013</v>
      </c>
      <c r="O208" t="s">
        <v>462</v>
      </c>
      <c r="P208" t="s">
        <v>462</v>
      </c>
      <c r="Q208">
        <v>1</v>
      </c>
      <c r="W208">
        <v>0</v>
      </c>
      <c r="X208">
        <v>-1166887252</v>
      </c>
      <c r="Y208">
        <v>6.48</v>
      </c>
      <c r="AA208">
        <v>0</v>
      </c>
      <c r="AB208">
        <v>0</v>
      </c>
      <c r="AC208">
        <v>0</v>
      </c>
      <c r="AD208">
        <v>257.88</v>
      </c>
      <c r="AE208">
        <v>0</v>
      </c>
      <c r="AF208">
        <v>0</v>
      </c>
      <c r="AG208">
        <v>0</v>
      </c>
      <c r="AH208">
        <v>12.92</v>
      </c>
      <c r="AI208">
        <v>1</v>
      </c>
      <c r="AJ208">
        <v>1</v>
      </c>
      <c r="AK208">
        <v>1</v>
      </c>
      <c r="AL208">
        <v>19.96</v>
      </c>
      <c r="AN208">
        <v>0</v>
      </c>
      <c r="AO208">
        <v>1</v>
      </c>
      <c r="AP208">
        <v>0</v>
      </c>
      <c r="AQ208">
        <v>0</v>
      </c>
      <c r="AR208">
        <v>0</v>
      </c>
      <c r="AT208">
        <v>6.48</v>
      </c>
      <c r="AV208">
        <v>1</v>
      </c>
      <c r="AW208">
        <v>2</v>
      </c>
      <c r="AX208">
        <v>42255243</v>
      </c>
      <c r="AY208">
        <v>1</v>
      </c>
      <c r="AZ208">
        <v>0</v>
      </c>
      <c r="BA208">
        <v>209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Y208*Source!I261</f>
        <v>0.5184000000000001</v>
      </c>
      <c r="CY208">
        <f t="shared" si="6"/>
        <v>257.88</v>
      </c>
      <c r="CZ208">
        <f t="shared" si="7"/>
        <v>12.92</v>
      </c>
      <c r="DA208">
        <f t="shared" si="8"/>
        <v>19.96</v>
      </c>
      <c r="DB208">
        <v>0</v>
      </c>
    </row>
    <row r="209" spans="1:106" ht="12.75">
      <c r="A209">
        <f>ROW(Source!A261)</f>
        <v>261</v>
      </c>
      <c r="B209">
        <v>42253831</v>
      </c>
      <c r="C209">
        <v>42255240</v>
      </c>
      <c r="D209">
        <v>37518716</v>
      </c>
      <c r="E209">
        <v>1</v>
      </c>
      <c r="F209">
        <v>1</v>
      </c>
      <c r="G209">
        <v>1</v>
      </c>
      <c r="H209">
        <v>1</v>
      </c>
      <c r="I209" t="s">
        <v>687</v>
      </c>
      <c r="K209" t="s">
        <v>688</v>
      </c>
      <c r="L209">
        <v>1191</v>
      </c>
      <c r="N209">
        <v>1013</v>
      </c>
      <c r="O209" t="s">
        <v>462</v>
      </c>
      <c r="P209" t="s">
        <v>462</v>
      </c>
      <c r="Q209">
        <v>1</v>
      </c>
      <c r="W209">
        <v>0</v>
      </c>
      <c r="X209">
        <v>1776637054</v>
      </c>
      <c r="Y209">
        <v>6.48</v>
      </c>
      <c r="AA209">
        <v>0</v>
      </c>
      <c r="AB209">
        <v>0</v>
      </c>
      <c r="AC209">
        <v>0</v>
      </c>
      <c r="AD209">
        <v>253.29</v>
      </c>
      <c r="AE209">
        <v>0</v>
      </c>
      <c r="AF209">
        <v>0</v>
      </c>
      <c r="AG209">
        <v>0</v>
      </c>
      <c r="AH209">
        <v>12.69</v>
      </c>
      <c r="AI209">
        <v>1</v>
      </c>
      <c r="AJ209">
        <v>1</v>
      </c>
      <c r="AK209">
        <v>1</v>
      </c>
      <c r="AL209">
        <v>19.96</v>
      </c>
      <c r="AN209">
        <v>0</v>
      </c>
      <c r="AO209">
        <v>1</v>
      </c>
      <c r="AP209">
        <v>0</v>
      </c>
      <c r="AQ209">
        <v>0</v>
      </c>
      <c r="AR209">
        <v>0</v>
      </c>
      <c r="AT209">
        <v>6.48</v>
      </c>
      <c r="AV209">
        <v>1</v>
      </c>
      <c r="AW209">
        <v>2</v>
      </c>
      <c r="AX209">
        <v>42255244</v>
      </c>
      <c r="AY209">
        <v>1</v>
      </c>
      <c r="AZ209">
        <v>0</v>
      </c>
      <c r="BA209">
        <v>210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Y209*Source!I261</f>
        <v>0.5184000000000001</v>
      </c>
      <c r="CY209">
        <f t="shared" si="6"/>
        <v>253.29</v>
      </c>
      <c r="CZ209">
        <f t="shared" si="7"/>
        <v>12.69</v>
      </c>
      <c r="DA209">
        <f t="shared" si="8"/>
        <v>19.96</v>
      </c>
      <c r="DB209">
        <v>0</v>
      </c>
    </row>
    <row r="210" spans="1:106" ht="12.75">
      <c r="A210">
        <f>ROW(Source!A262)</f>
        <v>262</v>
      </c>
      <c r="B210">
        <v>42253831</v>
      </c>
      <c r="C210">
        <v>42255245</v>
      </c>
      <c r="D210">
        <v>37519679</v>
      </c>
      <c r="E210">
        <v>1</v>
      </c>
      <c r="F210">
        <v>1</v>
      </c>
      <c r="G210">
        <v>1</v>
      </c>
      <c r="H210">
        <v>1</v>
      </c>
      <c r="I210" t="s">
        <v>693</v>
      </c>
      <c r="K210" t="s">
        <v>694</v>
      </c>
      <c r="L210">
        <v>1191</v>
      </c>
      <c r="N210">
        <v>1013</v>
      </c>
      <c r="O210" t="s">
        <v>462</v>
      </c>
      <c r="P210" t="s">
        <v>462</v>
      </c>
      <c r="Q210">
        <v>1</v>
      </c>
      <c r="W210">
        <v>0</v>
      </c>
      <c r="X210">
        <v>-1166887252</v>
      </c>
      <c r="Y210">
        <v>0.61</v>
      </c>
      <c r="AA210">
        <v>0</v>
      </c>
      <c r="AB210">
        <v>0</v>
      </c>
      <c r="AC210">
        <v>0</v>
      </c>
      <c r="AD210">
        <v>257.88</v>
      </c>
      <c r="AE210">
        <v>0</v>
      </c>
      <c r="AF210">
        <v>0</v>
      </c>
      <c r="AG210">
        <v>0</v>
      </c>
      <c r="AH210">
        <v>12.92</v>
      </c>
      <c r="AI210">
        <v>1</v>
      </c>
      <c r="AJ210">
        <v>1</v>
      </c>
      <c r="AK210">
        <v>1</v>
      </c>
      <c r="AL210">
        <v>19.96</v>
      </c>
      <c r="AN210">
        <v>0</v>
      </c>
      <c r="AO210">
        <v>1</v>
      </c>
      <c r="AP210">
        <v>0</v>
      </c>
      <c r="AQ210">
        <v>0</v>
      </c>
      <c r="AR210">
        <v>0</v>
      </c>
      <c r="AT210">
        <v>0.61</v>
      </c>
      <c r="AV210">
        <v>1</v>
      </c>
      <c r="AW210">
        <v>2</v>
      </c>
      <c r="AX210">
        <v>42255248</v>
      </c>
      <c r="AY210">
        <v>1</v>
      </c>
      <c r="AZ210">
        <v>0</v>
      </c>
      <c r="BA210">
        <v>211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Y210*Source!I262</f>
        <v>4.88</v>
      </c>
      <c r="CY210">
        <f t="shared" si="6"/>
        <v>257.88</v>
      </c>
      <c r="CZ210">
        <f t="shared" si="7"/>
        <v>12.92</v>
      </c>
      <c r="DA210">
        <f t="shared" si="8"/>
        <v>19.96</v>
      </c>
      <c r="DB210">
        <v>0</v>
      </c>
    </row>
    <row r="211" spans="1:106" ht="12.75">
      <c r="A211">
        <f>ROW(Source!A262)</f>
        <v>262</v>
      </c>
      <c r="B211">
        <v>42253831</v>
      </c>
      <c r="C211">
        <v>42255245</v>
      </c>
      <c r="D211">
        <v>37518716</v>
      </c>
      <c r="E211">
        <v>1</v>
      </c>
      <c r="F211">
        <v>1</v>
      </c>
      <c r="G211">
        <v>1</v>
      </c>
      <c r="H211">
        <v>1</v>
      </c>
      <c r="I211" t="s">
        <v>687</v>
      </c>
      <c r="K211" t="s">
        <v>688</v>
      </c>
      <c r="L211">
        <v>1191</v>
      </c>
      <c r="N211">
        <v>1013</v>
      </c>
      <c r="O211" t="s">
        <v>462</v>
      </c>
      <c r="P211" t="s">
        <v>462</v>
      </c>
      <c r="Q211">
        <v>1</v>
      </c>
      <c r="W211">
        <v>0</v>
      </c>
      <c r="X211">
        <v>1776637054</v>
      </c>
      <c r="Y211">
        <v>0.61</v>
      </c>
      <c r="AA211">
        <v>0</v>
      </c>
      <c r="AB211">
        <v>0</v>
      </c>
      <c r="AC211">
        <v>0</v>
      </c>
      <c r="AD211">
        <v>253.29</v>
      </c>
      <c r="AE211">
        <v>0</v>
      </c>
      <c r="AF211">
        <v>0</v>
      </c>
      <c r="AG211">
        <v>0</v>
      </c>
      <c r="AH211">
        <v>12.69</v>
      </c>
      <c r="AI211">
        <v>1</v>
      </c>
      <c r="AJ211">
        <v>1</v>
      </c>
      <c r="AK211">
        <v>1</v>
      </c>
      <c r="AL211">
        <v>19.96</v>
      </c>
      <c r="AN211">
        <v>0</v>
      </c>
      <c r="AO211">
        <v>1</v>
      </c>
      <c r="AP211">
        <v>0</v>
      </c>
      <c r="AQ211">
        <v>0</v>
      </c>
      <c r="AR211">
        <v>0</v>
      </c>
      <c r="AT211">
        <v>0.61</v>
      </c>
      <c r="AV211">
        <v>1</v>
      </c>
      <c r="AW211">
        <v>2</v>
      </c>
      <c r="AX211">
        <v>42255249</v>
      </c>
      <c r="AY211">
        <v>1</v>
      </c>
      <c r="AZ211">
        <v>0</v>
      </c>
      <c r="BA211">
        <v>212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Y211*Source!I262</f>
        <v>4.88</v>
      </c>
      <c r="CY211">
        <f t="shared" si="6"/>
        <v>253.29</v>
      </c>
      <c r="CZ211">
        <f t="shared" si="7"/>
        <v>12.69</v>
      </c>
      <c r="DA211">
        <f t="shared" si="8"/>
        <v>19.96</v>
      </c>
      <c r="DB211">
        <v>0</v>
      </c>
    </row>
    <row r="212" spans="1:106" ht="12.75">
      <c r="A212">
        <f>ROW(Source!A263)</f>
        <v>263</v>
      </c>
      <c r="B212">
        <v>42253831</v>
      </c>
      <c r="C212">
        <v>42255250</v>
      </c>
      <c r="D212">
        <v>37519679</v>
      </c>
      <c r="E212">
        <v>1</v>
      </c>
      <c r="F212">
        <v>1</v>
      </c>
      <c r="G212">
        <v>1</v>
      </c>
      <c r="H212">
        <v>1</v>
      </c>
      <c r="I212" t="s">
        <v>693</v>
      </c>
      <c r="K212" t="s">
        <v>694</v>
      </c>
      <c r="L212">
        <v>1191</v>
      </c>
      <c r="N212">
        <v>1013</v>
      </c>
      <c r="O212" t="s">
        <v>462</v>
      </c>
      <c r="P212" t="s">
        <v>462</v>
      </c>
      <c r="Q212">
        <v>1</v>
      </c>
      <c r="W212">
        <v>0</v>
      </c>
      <c r="X212">
        <v>-1166887252</v>
      </c>
      <c r="Y212">
        <v>0.61</v>
      </c>
      <c r="AA212">
        <v>0</v>
      </c>
      <c r="AB212">
        <v>0</v>
      </c>
      <c r="AC212">
        <v>0</v>
      </c>
      <c r="AD212">
        <v>257.88</v>
      </c>
      <c r="AE212">
        <v>0</v>
      </c>
      <c r="AF212">
        <v>0</v>
      </c>
      <c r="AG212">
        <v>0</v>
      </c>
      <c r="AH212">
        <v>12.92</v>
      </c>
      <c r="AI212">
        <v>1</v>
      </c>
      <c r="AJ212">
        <v>1</v>
      </c>
      <c r="AK212">
        <v>1</v>
      </c>
      <c r="AL212">
        <v>19.96</v>
      </c>
      <c r="AN212">
        <v>0</v>
      </c>
      <c r="AO212">
        <v>1</v>
      </c>
      <c r="AP212">
        <v>0</v>
      </c>
      <c r="AQ212">
        <v>0</v>
      </c>
      <c r="AR212">
        <v>0</v>
      </c>
      <c r="AT212">
        <v>0.61</v>
      </c>
      <c r="AV212">
        <v>1</v>
      </c>
      <c r="AW212">
        <v>2</v>
      </c>
      <c r="AX212">
        <v>42255253</v>
      </c>
      <c r="AY212">
        <v>1</v>
      </c>
      <c r="AZ212">
        <v>0</v>
      </c>
      <c r="BA212">
        <v>213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Y212*Source!I263</f>
        <v>4.88</v>
      </c>
      <c r="CY212">
        <f t="shared" si="6"/>
        <v>257.88</v>
      </c>
      <c r="CZ212">
        <f t="shared" si="7"/>
        <v>12.92</v>
      </c>
      <c r="DA212">
        <f t="shared" si="8"/>
        <v>19.96</v>
      </c>
      <c r="DB212">
        <v>0</v>
      </c>
    </row>
    <row r="213" spans="1:106" ht="12.75">
      <c r="A213">
        <f>ROW(Source!A263)</f>
        <v>263</v>
      </c>
      <c r="B213">
        <v>42253831</v>
      </c>
      <c r="C213">
        <v>42255250</v>
      </c>
      <c r="D213">
        <v>37518716</v>
      </c>
      <c r="E213">
        <v>1</v>
      </c>
      <c r="F213">
        <v>1</v>
      </c>
      <c r="G213">
        <v>1</v>
      </c>
      <c r="H213">
        <v>1</v>
      </c>
      <c r="I213" t="s">
        <v>687</v>
      </c>
      <c r="K213" t="s">
        <v>688</v>
      </c>
      <c r="L213">
        <v>1191</v>
      </c>
      <c r="N213">
        <v>1013</v>
      </c>
      <c r="O213" t="s">
        <v>462</v>
      </c>
      <c r="P213" t="s">
        <v>462</v>
      </c>
      <c r="Q213">
        <v>1</v>
      </c>
      <c r="W213">
        <v>0</v>
      </c>
      <c r="X213">
        <v>1776637054</v>
      </c>
      <c r="Y213">
        <v>0.61</v>
      </c>
      <c r="AA213">
        <v>0</v>
      </c>
      <c r="AB213">
        <v>0</v>
      </c>
      <c r="AC213">
        <v>0</v>
      </c>
      <c r="AD213">
        <v>253.29</v>
      </c>
      <c r="AE213">
        <v>0</v>
      </c>
      <c r="AF213">
        <v>0</v>
      </c>
      <c r="AG213">
        <v>0</v>
      </c>
      <c r="AH213">
        <v>12.69</v>
      </c>
      <c r="AI213">
        <v>1</v>
      </c>
      <c r="AJ213">
        <v>1</v>
      </c>
      <c r="AK213">
        <v>1</v>
      </c>
      <c r="AL213">
        <v>19.96</v>
      </c>
      <c r="AN213">
        <v>0</v>
      </c>
      <c r="AO213">
        <v>1</v>
      </c>
      <c r="AP213">
        <v>0</v>
      </c>
      <c r="AQ213">
        <v>0</v>
      </c>
      <c r="AR213">
        <v>0</v>
      </c>
      <c r="AT213">
        <v>0.61</v>
      </c>
      <c r="AV213">
        <v>1</v>
      </c>
      <c r="AW213">
        <v>2</v>
      </c>
      <c r="AX213">
        <v>42255254</v>
      </c>
      <c r="AY213">
        <v>1</v>
      </c>
      <c r="AZ213">
        <v>0</v>
      </c>
      <c r="BA213">
        <v>214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Y213*Source!I263</f>
        <v>4.88</v>
      </c>
      <c r="CY213">
        <f t="shared" si="6"/>
        <v>253.29</v>
      </c>
      <c r="CZ213">
        <f t="shared" si="7"/>
        <v>12.69</v>
      </c>
      <c r="DA213">
        <f t="shared" si="8"/>
        <v>19.96</v>
      </c>
      <c r="DB213">
        <v>0</v>
      </c>
    </row>
    <row r="214" spans="1:106" ht="12.75">
      <c r="A214">
        <f>ROW(Source!A264)</f>
        <v>264</v>
      </c>
      <c r="B214">
        <v>42253831</v>
      </c>
      <c r="C214">
        <v>42255255</v>
      </c>
      <c r="D214">
        <v>37518716</v>
      </c>
      <c r="E214">
        <v>1</v>
      </c>
      <c r="F214">
        <v>1</v>
      </c>
      <c r="G214">
        <v>1</v>
      </c>
      <c r="H214">
        <v>1</v>
      </c>
      <c r="I214" t="s">
        <v>687</v>
      </c>
      <c r="K214" t="s">
        <v>688</v>
      </c>
      <c r="L214">
        <v>1191</v>
      </c>
      <c r="N214">
        <v>1013</v>
      </c>
      <c r="O214" t="s">
        <v>462</v>
      </c>
      <c r="P214" t="s">
        <v>462</v>
      </c>
      <c r="Q214">
        <v>1</v>
      </c>
      <c r="W214">
        <v>0</v>
      </c>
      <c r="X214">
        <v>1776637054</v>
      </c>
      <c r="Y214">
        <v>20.88</v>
      </c>
      <c r="AA214">
        <v>0</v>
      </c>
      <c r="AB214">
        <v>0</v>
      </c>
      <c r="AC214">
        <v>0</v>
      </c>
      <c r="AD214">
        <v>253.29</v>
      </c>
      <c r="AE214">
        <v>0</v>
      </c>
      <c r="AF214">
        <v>0</v>
      </c>
      <c r="AG214">
        <v>0</v>
      </c>
      <c r="AH214">
        <v>12.69</v>
      </c>
      <c r="AI214">
        <v>1</v>
      </c>
      <c r="AJ214">
        <v>1</v>
      </c>
      <c r="AK214">
        <v>1</v>
      </c>
      <c r="AL214">
        <v>19.96</v>
      </c>
      <c r="AN214">
        <v>0</v>
      </c>
      <c r="AO214">
        <v>1</v>
      </c>
      <c r="AP214">
        <v>0</v>
      </c>
      <c r="AQ214">
        <v>0</v>
      </c>
      <c r="AR214">
        <v>0</v>
      </c>
      <c r="AT214">
        <v>20.88</v>
      </c>
      <c r="AV214">
        <v>1</v>
      </c>
      <c r="AW214">
        <v>2</v>
      </c>
      <c r="AX214">
        <v>42255257</v>
      </c>
      <c r="AY214">
        <v>1</v>
      </c>
      <c r="AZ214">
        <v>0</v>
      </c>
      <c r="BA214">
        <v>215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Y214*Source!I264</f>
        <v>167.04</v>
      </c>
      <c r="CY214">
        <f t="shared" si="6"/>
        <v>253.29</v>
      </c>
      <c r="CZ214">
        <f t="shared" si="7"/>
        <v>12.69</v>
      </c>
      <c r="DA214">
        <f t="shared" si="8"/>
        <v>19.96</v>
      </c>
      <c r="DB214">
        <v>0</v>
      </c>
    </row>
    <row r="215" spans="1:106" ht="12.75">
      <c r="A215">
        <f>ROW(Source!A299)</f>
        <v>299</v>
      </c>
      <c r="B215">
        <v>42253831</v>
      </c>
      <c r="C215">
        <v>42263550</v>
      </c>
      <c r="D215">
        <v>37065248</v>
      </c>
      <c r="E215">
        <v>1</v>
      </c>
      <c r="F215">
        <v>1</v>
      </c>
      <c r="G215">
        <v>1</v>
      </c>
      <c r="H215">
        <v>1</v>
      </c>
      <c r="I215" t="s">
        <v>460</v>
      </c>
      <c r="K215" t="s">
        <v>461</v>
      </c>
      <c r="L215">
        <v>1191</v>
      </c>
      <c r="N215">
        <v>1013</v>
      </c>
      <c r="O215" t="s">
        <v>462</v>
      </c>
      <c r="P215" t="s">
        <v>462</v>
      </c>
      <c r="Q215">
        <v>1</v>
      </c>
      <c r="W215">
        <v>0</v>
      </c>
      <c r="X215">
        <v>-400197608</v>
      </c>
      <c r="Y215">
        <v>129</v>
      </c>
      <c r="AA215">
        <v>0</v>
      </c>
      <c r="AB215">
        <v>0</v>
      </c>
      <c r="AC215">
        <v>0</v>
      </c>
      <c r="AD215">
        <v>170.26</v>
      </c>
      <c r="AE215">
        <v>0</v>
      </c>
      <c r="AF215">
        <v>0</v>
      </c>
      <c r="AG215">
        <v>0</v>
      </c>
      <c r="AH215">
        <v>8.53</v>
      </c>
      <c r="AI215">
        <v>1</v>
      </c>
      <c r="AJ215">
        <v>1</v>
      </c>
      <c r="AK215">
        <v>1</v>
      </c>
      <c r="AL215">
        <v>19.96</v>
      </c>
      <c r="AN215">
        <v>0</v>
      </c>
      <c r="AO215">
        <v>1</v>
      </c>
      <c r="AP215">
        <v>0</v>
      </c>
      <c r="AQ215">
        <v>0</v>
      </c>
      <c r="AR215">
        <v>0</v>
      </c>
      <c r="AT215">
        <v>129</v>
      </c>
      <c r="AV215">
        <v>1</v>
      </c>
      <c r="AW215">
        <v>2</v>
      </c>
      <c r="AX215">
        <v>42263555</v>
      </c>
      <c r="AY215">
        <v>1</v>
      </c>
      <c r="AZ215">
        <v>0</v>
      </c>
      <c r="BA215">
        <v>216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Y215*Source!I299</f>
        <v>15.479999999999999</v>
      </c>
      <c r="CY215">
        <f t="shared" si="6"/>
        <v>170.26</v>
      </c>
      <c r="CZ215">
        <f t="shared" si="7"/>
        <v>8.53</v>
      </c>
      <c r="DA215">
        <f t="shared" si="8"/>
        <v>19.96</v>
      </c>
      <c r="DB215">
        <v>0</v>
      </c>
    </row>
    <row r="216" spans="1:106" ht="12.75">
      <c r="A216">
        <f>ROW(Source!A300)</f>
        <v>300</v>
      </c>
      <c r="B216">
        <v>42253831</v>
      </c>
      <c r="C216">
        <v>42263559</v>
      </c>
      <c r="D216">
        <v>37068121</v>
      </c>
      <c r="E216">
        <v>1</v>
      </c>
      <c r="F216">
        <v>1</v>
      </c>
      <c r="G216">
        <v>1</v>
      </c>
      <c r="H216">
        <v>1</v>
      </c>
      <c r="I216" t="s">
        <v>695</v>
      </c>
      <c r="K216" t="s">
        <v>696</v>
      </c>
      <c r="L216">
        <v>1191</v>
      </c>
      <c r="N216">
        <v>1013</v>
      </c>
      <c r="O216" t="s">
        <v>462</v>
      </c>
      <c r="P216" t="s">
        <v>462</v>
      </c>
      <c r="Q216">
        <v>1</v>
      </c>
      <c r="W216">
        <v>0</v>
      </c>
      <c r="X216">
        <v>-1366118074</v>
      </c>
      <c r="Y216">
        <v>40</v>
      </c>
      <c r="AA216">
        <v>0</v>
      </c>
      <c r="AB216">
        <v>0</v>
      </c>
      <c r="AC216">
        <v>0</v>
      </c>
      <c r="AD216">
        <v>158.48</v>
      </c>
      <c r="AE216">
        <v>0</v>
      </c>
      <c r="AF216">
        <v>0</v>
      </c>
      <c r="AG216">
        <v>0</v>
      </c>
      <c r="AH216">
        <v>7.94</v>
      </c>
      <c r="AI216">
        <v>1</v>
      </c>
      <c r="AJ216">
        <v>1</v>
      </c>
      <c r="AK216">
        <v>1</v>
      </c>
      <c r="AL216">
        <v>19.96</v>
      </c>
      <c r="AN216">
        <v>0</v>
      </c>
      <c r="AO216">
        <v>1</v>
      </c>
      <c r="AP216">
        <v>0</v>
      </c>
      <c r="AQ216">
        <v>0</v>
      </c>
      <c r="AR216">
        <v>0</v>
      </c>
      <c r="AT216">
        <v>40</v>
      </c>
      <c r="AV216">
        <v>1</v>
      </c>
      <c r="AW216">
        <v>2</v>
      </c>
      <c r="AX216">
        <v>42263562</v>
      </c>
      <c r="AY216">
        <v>1</v>
      </c>
      <c r="AZ216">
        <v>0</v>
      </c>
      <c r="BA216">
        <v>217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Y216*Source!I300</f>
        <v>48</v>
      </c>
      <c r="CY216">
        <f t="shared" si="6"/>
        <v>158.48</v>
      </c>
      <c r="CZ216">
        <f t="shared" si="7"/>
        <v>7.94</v>
      </c>
      <c r="DA216">
        <f t="shared" si="8"/>
        <v>19.96</v>
      </c>
      <c r="DB216">
        <v>0</v>
      </c>
    </row>
    <row r="217" spans="1:106" ht="12.75">
      <c r="A217">
        <f>ROW(Source!A300)</f>
        <v>300</v>
      </c>
      <c r="B217">
        <v>42253831</v>
      </c>
      <c r="C217">
        <v>42263559</v>
      </c>
      <c r="D217">
        <v>36840158</v>
      </c>
      <c r="E217">
        <v>1</v>
      </c>
      <c r="F217">
        <v>1</v>
      </c>
      <c r="G217">
        <v>1</v>
      </c>
      <c r="H217">
        <v>3</v>
      </c>
      <c r="I217" t="s">
        <v>697</v>
      </c>
      <c r="J217" t="s">
        <v>698</v>
      </c>
      <c r="K217" t="s">
        <v>699</v>
      </c>
      <c r="L217">
        <v>1339</v>
      </c>
      <c r="N217">
        <v>1007</v>
      </c>
      <c r="O217" t="s">
        <v>140</v>
      </c>
      <c r="P217" t="s">
        <v>140</v>
      </c>
      <c r="Q217">
        <v>1</v>
      </c>
      <c r="W217">
        <v>0</v>
      </c>
      <c r="X217">
        <v>-34043592</v>
      </c>
      <c r="Y217">
        <v>15</v>
      </c>
      <c r="AA217">
        <v>746.55</v>
      </c>
      <c r="AB217">
        <v>0</v>
      </c>
      <c r="AC217">
        <v>0</v>
      </c>
      <c r="AD217">
        <v>0</v>
      </c>
      <c r="AE217">
        <v>131.9</v>
      </c>
      <c r="AF217">
        <v>0</v>
      </c>
      <c r="AG217">
        <v>0</v>
      </c>
      <c r="AH217">
        <v>0</v>
      </c>
      <c r="AI217">
        <v>5.66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T217">
        <v>15</v>
      </c>
      <c r="AV217">
        <v>0</v>
      </c>
      <c r="AW217">
        <v>2</v>
      </c>
      <c r="AX217">
        <v>42263563</v>
      </c>
      <c r="AY217">
        <v>1</v>
      </c>
      <c r="AZ217">
        <v>0</v>
      </c>
      <c r="BA217">
        <v>218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Y217*Source!I300</f>
        <v>18</v>
      </c>
      <c r="CY217">
        <f>AA217</f>
        <v>746.55</v>
      </c>
      <c r="CZ217">
        <f>AE217</f>
        <v>131.9</v>
      </c>
      <c r="DA217">
        <f>AI217</f>
        <v>5.66</v>
      </c>
      <c r="DB217">
        <v>0</v>
      </c>
    </row>
    <row r="218" spans="1:106" ht="12.75">
      <c r="A218">
        <f>ROW(Source!A300)</f>
        <v>300</v>
      </c>
      <c r="B218">
        <v>42253831</v>
      </c>
      <c r="C218">
        <v>42263559</v>
      </c>
      <c r="D218">
        <v>36840164</v>
      </c>
      <c r="E218">
        <v>1</v>
      </c>
      <c r="F218">
        <v>1</v>
      </c>
      <c r="G218">
        <v>1</v>
      </c>
      <c r="H218">
        <v>3</v>
      </c>
      <c r="I218" t="s">
        <v>375</v>
      </c>
      <c r="J218" t="s">
        <v>377</v>
      </c>
      <c r="K218" t="s">
        <v>376</v>
      </c>
      <c r="L218">
        <v>1339</v>
      </c>
      <c r="N218">
        <v>1007</v>
      </c>
      <c r="O218" t="s">
        <v>140</v>
      </c>
      <c r="P218" t="s">
        <v>140</v>
      </c>
      <c r="Q218">
        <v>1</v>
      </c>
      <c r="W218">
        <v>0</v>
      </c>
      <c r="X218">
        <v>614973991</v>
      </c>
      <c r="Y218">
        <v>6.8</v>
      </c>
      <c r="AA218">
        <v>2072.13</v>
      </c>
      <c r="AB218">
        <v>0</v>
      </c>
      <c r="AC218">
        <v>0</v>
      </c>
      <c r="AD218">
        <v>0</v>
      </c>
      <c r="AE218">
        <v>366.1</v>
      </c>
      <c r="AF218">
        <v>0</v>
      </c>
      <c r="AG218">
        <v>0</v>
      </c>
      <c r="AH218">
        <v>0</v>
      </c>
      <c r="AI218">
        <v>5.66</v>
      </c>
      <c r="AJ218">
        <v>1</v>
      </c>
      <c r="AK218">
        <v>1</v>
      </c>
      <c r="AL218">
        <v>1</v>
      </c>
      <c r="AN218">
        <v>0</v>
      </c>
      <c r="AO218">
        <v>0</v>
      </c>
      <c r="AP218">
        <v>0</v>
      </c>
      <c r="AQ218">
        <v>0</v>
      </c>
      <c r="AR218">
        <v>0</v>
      </c>
      <c r="AT218">
        <v>6.8</v>
      </c>
      <c r="AV218">
        <v>0</v>
      </c>
      <c r="AW218">
        <v>1</v>
      </c>
      <c r="AX218">
        <v>-1</v>
      </c>
      <c r="AY218">
        <v>0</v>
      </c>
      <c r="AZ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Y218*Source!I300</f>
        <v>8.16</v>
      </c>
      <c r="CY218">
        <f>AA218</f>
        <v>2072.13</v>
      </c>
      <c r="CZ218">
        <f>AE218</f>
        <v>366.1</v>
      </c>
      <c r="DA218">
        <f>AI218</f>
        <v>5.66</v>
      </c>
      <c r="DB218">
        <v>0</v>
      </c>
    </row>
    <row r="219" spans="1:106" ht="12.75">
      <c r="A219">
        <f>ROW(Source!A302)</f>
        <v>302</v>
      </c>
      <c r="B219">
        <v>42253831</v>
      </c>
      <c r="C219">
        <v>42263567</v>
      </c>
      <c r="D219">
        <v>37064876</v>
      </c>
      <c r="E219">
        <v>1</v>
      </c>
      <c r="F219">
        <v>1</v>
      </c>
      <c r="G219">
        <v>1</v>
      </c>
      <c r="H219">
        <v>1</v>
      </c>
      <c r="I219" t="s">
        <v>465</v>
      </c>
      <c r="K219" t="s">
        <v>466</v>
      </c>
      <c r="L219">
        <v>1191</v>
      </c>
      <c r="N219">
        <v>1013</v>
      </c>
      <c r="O219" t="s">
        <v>462</v>
      </c>
      <c r="P219" t="s">
        <v>462</v>
      </c>
      <c r="Q219">
        <v>1</v>
      </c>
      <c r="W219">
        <v>0</v>
      </c>
      <c r="X219">
        <v>-1417349443</v>
      </c>
      <c r="Y219">
        <v>0.5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1</v>
      </c>
      <c r="AJ219">
        <v>1</v>
      </c>
      <c r="AK219">
        <v>19.96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T219">
        <v>0.5</v>
      </c>
      <c r="AV219">
        <v>2</v>
      </c>
      <c r="AW219">
        <v>2</v>
      </c>
      <c r="AX219">
        <v>42263571</v>
      </c>
      <c r="AY219">
        <v>1</v>
      </c>
      <c r="AZ219">
        <v>0</v>
      </c>
      <c r="BA219">
        <v>219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Y219*Source!I302</f>
        <v>0.006</v>
      </c>
      <c r="CY219">
        <f>AD219</f>
        <v>0</v>
      </c>
      <c r="CZ219">
        <f>AH219</f>
        <v>0</v>
      </c>
      <c r="DA219">
        <f>AL219</f>
        <v>1</v>
      </c>
      <c r="DB219">
        <v>0</v>
      </c>
    </row>
    <row r="220" spans="1:106" ht="12.75">
      <c r="A220">
        <f>ROW(Source!A302)</f>
        <v>302</v>
      </c>
      <c r="B220">
        <v>42253831</v>
      </c>
      <c r="C220">
        <v>42263567</v>
      </c>
      <c r="D220">
        <v>36883406</v>
      </c>
      <c r="E220">
        <v>1</v>
      </c>
      <c r="F220">
        <v>1</v>
      </c>
      <c r="G220">
        <v>1</v>
      </c>
      <c r="H220">
        <v>2</v>
      </c>
      <c r="I220" t="s">
        <v>700</v>
      </c>
      <c r="J220" t="s">
        <v>701</v>
      </c>
      <c r="K220" t="s">
        <v>702</v>
      </c>
      <c r="L220">
        <v>1368</v>
      </c>
      <c r="N220">
        <v>1011</v>
      </c>
      <c r="O220" t="s">
        <v>470</v>
      </c>
      <c r="P220" t="s">
        <v>470</v>
      </c>
      <c r="Q220">
        <v>1</v>
      </c>
      <c r="W220">
        <v>0</v>
      </c>
      <c r="X220">
        <v>-1856832473</v>
      </c>
      <c r="Y220">
        <v>0.5</v>
      </c>
      <c r="AA220">
        <v>0</v>
      </c>
      <c r="AB220">
        <v>342.7</v>
      </c>
      <c r="AC220">
        <v>0</v>
      </c>
      <c r="AD220">
        <v>0</v>
      </c>
      <c r="AE220">
        <v>0</v>
      </c>
      <c r="AF220">
        <v>48.2</v>
      </c>
      <c r="AG220">
        <v>0</v>
      </c>
      <c r="AH220">
        <v>0</v>
      </c>
      <c r="AI220">
        <v>1</v>
      </c>
      <c r="AJ220">
        <v>7.11</v>
      </c>
      <c r="AK220">
        <v>19.96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T220">
        <v>0.5</v>
      </c>
      <c r="AV220">
        <v>0</v>
      </c>
      <c r="AW220">
        <v>2</v>
      </c>
      <c r="AX220">
        <v>42263572</v>
      </c>
      <c r="AY220">
        <v>1</v>
      </c>
      <c r="AZ220">
        <v>0</v>
      </c>
      <c r="BA220">
        <v>220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Y220*Source!I302</f>
        <v>0.006</v>
      </c>
      <c r="CY220">
        <f>AB220</f>
        <v>342.7</v>
      </c>
      <c r="CZ220">
        <f>AF220</f>
        <v>48.2</v>
      </c>
      <c r="DA220">
        <f>AJ220</f>
        <v>7.11</v>
      </c>
      <c r="DB220">
        <v>0</v>
      </c>
    </row>
    <row r="221" spans="1:106" ht="12.75">
      <c r="A221">
        <f>ROW(Source!A302)</f>
        <v>302</v>
      </c>
      <c r="B221">
        <v>42253831</v>
      </c>
      <c r="C221">
        <v>42263567</v>
      </c>
      <c r="D221">
        <v>36883667</v>
      </c>
      <c r="E221">
        <v>1</v>
      </c>
      <c r="F221">
        <v>1</v>
      </c>
      <c r="G221">
        <v>1</v>
      </c>
      <c r="H221">
        <v>2</v>
      </c>
      <c r="I221" t="s">
        <v>703</v>
      </c>
      <c r="J221" t="s">
        <v>704</v>
      </c>
      <c r="K221" t="s">
        <v>705</v>
      </c>
      <c r="L221">
        <v>1368</v>
      </c>
      <c r="N221">
        <v>1011</v>
      </c>
      <c r="O221" t="s">
        <v>470</v>
      </c>
      <c r="P221" t="s">
        <v>470</v>
      </c>
      <c r="Q221">
        <v>1</v>
      </c>
      <c r="W221">
        <v>0</v>
      </c>
      <c r="X221">
        <v>-1801140340</v>
      </c>
      <c r="Y221">
        <v>0.5</v>
      </c>
      <c r="AA221">
        <v>0</v>
      </c>
      <c r="AB221">
        <v>530.48</v>
      </c>
      <c r="AC221">
        <v>269.46</v>
      </c>
      <c r="AD221">
        <v>0</v>
      </c>
      <c r="AE221">
        <v>0</v>
      </c>
      <c r="AF221">
        <v>74.61</v>
      </c>
      <c r="AG221">
        <v>13.5</v>
      </c>
      <c r="AH221">
        <v>0</v>
      </c>
      <c r="AI221">
        <v>1</v>
      </c>
      <c r="AJ221">
        <v>7.11</v>
      </c>
      <c r="AK221">
        <v>19.96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T221">
        <v>0.5</v>
      </c>
      <c r="AV221">
        <v>0</v>
      </c>
      <c r="AW221">
        <v>2</v>
      </c>
      <c r="AX221">
        <v>42263573</v>
      </c>
      <c r="AY221">
        <v>1</v>
      </c>
      <c r="AZ221">
        <v>0</v>
      </c>
      <c r="BA221">
        <v>221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Y221*Source!I302</f>
        <v>0.006</v>
      </c>
      <c r="CY221">
        <f>AB221</f>
        <v>530.48</v>
      </c>
      <c r="CZ221">
        <f>AF221</f>
        <v>74.61</v>
      </c>
      <c r="DA221">
        <f>AJ221</f>
        <v>7.11</v>
      </c>
      <c r="DB221">
        <v>0</v>
      </c>
    </row>
    <row r="222" spans="1:106" ht="12.75">
      <c r="A222">
        <f>ROW(Source!A302)</f>
        <v>302</v>
      </c>
      <c r="B222">
        <v>42253831</v>
      </c>
      <c r="C222">
        <v>42263567</v>
      </c>
      <c r="D222">
        <v>36840413</v>
      </c>
      <c r="E222">
        <v>1</v>
      </c>
      <c r="F222">
        <v>1</v>
      </c>
      <c r="G222">
        <v>1</v>
      </c>
      <c r="H222">
        <v>3</v>
      </c>
      <c r="I222" t="s">
        <v>384</v>
      </c>
      <c r="J222" t="s">
        <v>387</v>
      </c>
      <c r="K222" t="s">
        <v>385</v>
      </c>
      <c r="L222">
        <v>1346</v>
      </c>
      <c r="N222">
        <v>1009</v>
      </c>
      <c r="O222" t="s">
        <v>386</v>
      </c>
      <c r="P222" t="s">
        <v>386</v>
      </c>
      <c r="Q222">
        <v>1</v>
      </c>
      <c r="W222">
        <v>0</v>
      </c>
      <c r="X222">
        <v>-1440369693</v>
      </c>
      <c r="Y222">
        <v>640</v>
      </c>
      <c r="AA222">
        <v>827.78</v>
      </c>
      <c r="AB222">
        <v>0</v>
      </c>
      <c r="AC222">
        <v>0</v>
      </c>
      <c r="AD222">
        <v>0</v>
      </c>
      <c r="AE222">
        <v>146.25</v>
      </c>
      <c r="AF222">
        <v>0</v>
      </c>
      <c r="AG222">
        <v>0</v>
      </c>
      <c r="AH222">
        <v>0</v>
      </c>
      <c r="AI222">
        <v>5.66</v>
      </c>
      <c r="AJ222">
        <v>1</v>
      </c>
      <c r="AK222">
        <v>1</v>
      </c>
      <c r="AL222">
        <v>1</v>
      </c>
      <c r="AN222">
        <v>0</v>
      </c>
      <c r="AO222">
        <v>0</v>
      </c>
      <c r="AP222">
        <v>0</v>
      </c>
      <c r="AQ222">
        <v>0</v>
      </c>
      <c r="AR222">
        <v>0</v>
      </c>
      <c r="AT222">
        <v>640</v>
      </c>
      <c r="AV222">
        <v>0</v>
      </c>
      <c r="AW222">
        <v>1</v>
      </c>
      <c r="AX222">
        <v>-1</v>
      </c>
      <c r="AY222">
        <v>0</v>
      </c>
      <c r="AZ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Y222*Source!I302</f>
        <v>7.68</v>
      </c>
      <c r="CY222">
        <f>AA222</f>
        <v>827.78</v>
      </c>
      <c r="CZ222">
        <f>AE222</f>
        <v>146.25</v>
      </c>
      <c r="DA222">
        <f>AI222</f>
        <v>5.66</v>
      </c>
      <c r="DB222">
        <v>0</v>
      </c>
    </row>
    <row r="223" spans="1:106" ht="12.75">
      <c r="A223">
        <f>ROW(Source!A304)</f>
        <v>304</v>
      </c>
      <c r="B223">
        <v>42253831</v>
      </c>
      <c r="C223">
        <v>42263577</v>
      </c>
      <c r="D223">
        <v>37068110</v>
      </c>
      <c r="E223">
        <v>1</v>
      </c>
      <c r="F223">
        <v>1</v>
      </c>
      <c r="G223">
        <v>1</v>
      </c>
      <c r="H223">
        <v>1</v>
      </c>
      <c r="I223" t="s">
        <v>706</v>
      </c>
      <c r="K223" t="s">
        <v>707</v>
      </c>
      <c r="L223">
        <v>1191</v>
      </c>
      <c r="N223">
        <v>1013</v>
      </c>
      <c r="O223" t="s">
        <v>462</v>
      </c>
      <c r="P223" t="s">
        <v>462</v>
      </c>
      <c r="Q223">
        <v>1</v>
      </c>
      <c r="W223">
        <v>0</v>
      </c>
      <c r="X223">
        <v>-576067263</v>
      </c>
      <c r="Y223">
        <v>1.81</v>
      </c>
      <c r="AA223">
        <v>0</v>
      </c>
      <c r="AB223">
        <v>0</v>
      </c>
      <c r="AC223">
        <v>0</v>
      </c>
      <c r="AD223">
        <v>143.51</v>
      </c>
      <c r="AE223">
        <v>0</v>
      </c>
      <c r="AF223">
        <v>0</v>
      </c>
      <c r="AG223">
        <v>0</v>
      </c>
      <c r="AH223">
        <v>7.19</v>
      </c>
      <c r="AI223">
        <v>1</v>
      </c>
      <c r="AJ223">
        <v>1</v>
      </c>
      <c r="AK223">
        <v>1</v>
      </c>
      <c r="AL223">
        <v>19.96</v>
      </c>
      <c r="AN223">
        <v>0</v>
      </c>
      <c r="AO223">
        <v>1</v>
      </c>
      <c r="AP223">
        <v>0</v>
      </c>
      <c r="AQ223">
        <v>0</v>
      </c>
      <c r="AR223">
        <v>0</v>
      </c>
      <c r="AT223">
        <v>1.81</v>
      </c>
      <c r="AV223">
        <v>1</v>
      </c>
      <c r="AW223">
        <v>2</v>
      </c>
      <c r="AX223">
        <v>42263582</v>
      </c>
      <c r="AY223">
        <v>1</v>
      </c>
      <c r="AZ223">
        <v>0</v>
      </c>
      <c r="BA223">
        <v>223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Y223*Source!I304</f>
        <v>4.525</v>
      </c>
      <c r="CY223">
        <f>AD223</f>
        <v>143.51</v>
      </c>
      <c r="CZ223">
        <f>AH223</f>
        <v>7.19</v>
      </c>
      <c r="DA223">
        <f>AL223</f>
        <v>19.96</v>
      </c>
      <c r="DB223">
        <v>0</v>
      </c>
    </row>
    <row r="224" spans="1:106" ht="12.75">
      <c r="A224">
        <f>ROW(Source!A304)</f>
        <v>304</v>
      </c>
      <c r="B224">
        <v>42253831</v>
      </c>
      <c r="C224">
        <v>42263577</v>
      </c>
      <c r="D224">
        <v>37064876</v>
      </c>
      <c r="E224">
        <v>1</v>
      </c>
      <c r="F224">
        <v>1</v>
      </c>
      <c r="G224">
        <v>1</v>
      </c>
      <c r="H224">
        <v>1</v>
      </c>
      <c r="I224" t="s">
        <v>465</v>
      </c>
      <c r="K224" t="s">
        <v>466</v>
      </c>
      <c r="L224">
        <v>1191</v>
      </c>
      <c r="N224">
        <v>1013</v>
      </c>
      <c r="O224" t="s">
        <v>462</v>
      </c>
      <c r="P224" t="s">
        <v>462</v>
      </c>
      <c r="Q224">
        <v>1</v>
      </c>
      <c r="W224">
        <v>0</v>
      </c>
      <c r="X224">
        <v>-1417349443</v>
      </c>
      <c r="Y224">
        <v>1.96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1</v>
      </c>
      <c r="AJ224">
        <v>1</v>
      </c>
      <c r="AK224">
        <v>19.96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T224">
        <v>1.96</v>
      </c>
      <c r="AV224">
        <v>2</v>
      </c>
      <c r="AW224">
        <v>2</v>
      </c>
      <c r="AX224">
        <v>42263583</v>
      </c>
      <c r="AY224">
        <v>1</v>
      </c>
      <c r="AZ224">
        <v>0</v>
      </c>
      <c r="BA224">
        <v>224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Y224*Source!I304</f>
        <v>4.9</v>
      </c>
      <c r="CY224">
        <f>AD224</f>
        <v>0</v>
      </c>
      <c r="CZ224">
        <f>AH224</f>
        <v>0</v>
      </c>
      <c r="DA224">
        <f>AL224</f>
        <v>1</v>
      </c>
      <c r="DB224">
        <v>0</v>
      </c>
    </row>
    <row r="225" spans="1:106" ht="12.75">
      <c r="A225">
        <f>ROW(Source!A304)</f>
        <v>304</v>
      </c>
      <c r="B225">
        <v>42253831</v>
      </c>
      <c r="C225">
        <v>42263577</v>
      </c>
      <c r="D225">
        <v>36883483</v>
      </c>
      <c r="E225">
        <v>1</v>
      </c>
      <c r="F225">
        <v>1</v>
      </c>
      <c r="G225">
        <v>1</v>
      </c>
      <c r="H225">
        <v>2</v>
      </c>
      <c r="I225" t="s">
        <v>537</v>
      </c>
      <c r="J225" t="s">
        <v>538</v>
      </c>
      <c r="K225" t="s">
        <v>539</v>
      </c>
      <c r="L225">
        <v>1368</v>
      </c>
      <c r="N225">
        <v>1011</v>
      </c>
      <c r="O225" t="s">
        <v>470</v>
      </c>
      <c r="P225" t="s">
        <v>470</v>
      </c>
      <c r="Q225">
        <v>1</v>
      </c>
      <c r="W225">
        <v>0</v>
      </c>
      <c r="X225">
        <v>529073949</v>
      </c>
      <c r="Y225">
        <v>1.96</v>
      </c>
      <c r="AA225">
        <v>0</v>
      </c>
      <c r="AB225">
        <v>782.1</v>
      </c>
      <c r="AC225">
        <v>231.54</v>
      </c>
      <c r="AD225">
        <v>0</v>
      </c>
      <c r="AE225">
        <v>0</v>
      </c>
      <c r="AF225">
        <v>110</v>
      </c>
      <c r="AG225">
        <v>11.6</v>
      </c>
      <c r="AH225">
        <v>0</v>
      </c>
      <c r="AI225">
        <v>1</v>
      </c>
      <c r="AJ225">
        <v>7.11</v>
      </c>
      <c r="AK225">
        <v>19.96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T225">
        <v>1.96</v>
      </c>
      <c r="AV225">
        <v>0</v>
      </c>
      <c r="AW225">
        <v>2</v>
      </c>
      <c r="AX225">
        <v>42263584</v>
      </c>
      <c r="AY225">
        <v>1</v>
      </c>
      <c r="AZ225">
        <v>0</v>
      </c>
      <c r="BA225">
        <v>225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Y225*Source!I304</f>
        <v>4.9</v>
      </c>
      <c r="CY225">
        <f>AB225</f>
        <v>782.1</v>
      </c>
      <c r="CZ225">
        <f>AF225</f>
        <v>110</v>
      </c>
      <c r="DA225">
        <f>AJ225</f>
        <v>7.11</v>
      </c>
      <c r="DB225">
        <v>0</v>
      </c>
    </row>
    <row r="226" spans="1:106" ht="12.75">
      <c r="A226">
        <f>ROW(Source!A304)</f>
        <v>304</v>
      </c>
      <c r="B226">
        <v>42253831</v>
      </c>
      <c r="C226">
        <v>42263577</v>
      </c>
      <c r="D226">
        <v>36801792</v>
      </c>
      <c r="E226">
        <v>1</v>
      </c>
      <c r="F226">
        <v>1</v>
      </c>
      <c r="G226">
        <v>1</v>
      </c>
      <c r="H226">
        <v>3</v>
      </c>
      <c r="I226" t="s">
        <v>540</v>
      </c>
      <c r="J226" t="s">
        <v>541</v>
      </c>
      <c r="K226" t="s">
        <v>542</v>
      </c>
      <c r="L226">
        <v>1339</v>
      </c>
      <c r="N226">
        <v>1007</v>
      </c>
      <c r="O226" t="s">
        <v>140</v>
      </c>
      <c r="P226" t="s">
        <v>140</v>
      </c>
      <c r="Q226">
        <v>1</v>
      </c>
      <c r="W226">
        <v>0</v>
      </c>
      <c r="X226">
        <v>-1660354250</v>
      </c>
      <c r="Y226">
        <v>5.1</v>
      </c>
      <c r="AA226">
        <v>13.81</v>
      </c>
      <c r="AB226">
        <v>0</v>
      </c>
      <c r="AC226">
        <v>0</v>
      </c>
      <c r="AD226">
        <v>0</v>
      </c>
      <c r="AE226">
        <v>2.44</v>
      </c>
      <c r="AF226">
        <v>0</v>
      </c>
      <c r="AG226">
        <v>0</v>
      </c>
      <c r="AH226">
        <v>0</v>
      </c>
      <c r="AI226">
        <v>5.66</v>
      </c>
      <c r="AJ226">
        <v>1</v>
      </c>
      <c r="AK226">
        <v>1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T226">
        <v>5.1</v>
      </c>
      <c r="AV226">
        <v>0</v>
      </c>
      <c r="AW226">
        <v>2</v>
      </c>
      <c r="AX226">
        <v>42263585</v>
      </c>
      <c r="AY226">
        <v>1</v>
      </c>
      <c r="AZ226">
        <v>0</v>
      </c>
      <c r="BA226">
        <v>226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Y226*Source!I304</f>
        <v>12.75</v>
      </c>
      <c r="CY226">
        <f>AA226</f>
        <v>13.81</v>
      </c>
      <c r="CZ226">
        <f>AE226</f>
        <v>2.44</v>
      </c>
      <c r="DA226">
        <f>AI226</f>
        <v>5.66</v>
      </c>
      <c r="DB226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2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ROW(Source!A30)</f>
        <v>30</v>
      </c>
      <c r="B1">
        <v>42263682</v>
      </c>
      <c r="C1">
        <v>42263680</v>
      </c>
      <c r="D1">
        <v>37065248</v>
      </c>
      <c r="E1">
        <v>1</v>
      </c>
      <c r="F1">
        <v>1</v>
      </c>
      <c r="G1">
        <v>1</v>
      </c>
      <c r="H1">
        <v>1</v>
      </c>
      <c r="I1" t="s">
        <v>460</v>
      </c>
      <c r="K1" t="s">
        <v>461</v>
      </c>
      <c r="L1">
        <v>1191</v>
      </c>
      <c r="N1">
        <v>1013</v>
      </c>
      <c r="O1" t="s">
        <v>462</v>
      </c>
      <c r="P1" t="s">
        <v>462</v>
      </c>
      <c r="Q1">
        <v>1</v>
      </c>
      <c r="X1">
        <v>4.43</v>
      </c>
      <c r="Y1">
        <v>0</v>
      </c>
      <c r="Z1">
        <v>0</v>
      </c>
      <c r="AA1">
        <v>0</v>
      </c>
      <c r="AB1">
        <v>8.53</v>
      </c>
      <c r="AC1">
        <v>0</v>
      </c>
      <c r="AD1">
        <v>1</v>
      </c>
      <c r="AE1">
        <v>1</v>
      </c>
      <c r="AG1">
        <v>4.43</v>
      </c>
      <c r="AH1">
        <v>2</v>
      </c>
      <c r="AI1">
        <v>42263681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ROW(Source!A67)</f>
        <v>67</v>
      </c>
      <c r="B2">
        <v>42254901</v>
      </c>
      <c r="C2">
        <v>42254895</v>
      </c>
      <c r="D2">
        <v>37064998</v>
      </c>
      <c r="E2">
        <v>1</v>
      </c>
      <c r="F2">
        <v>1</v>
      </c>
      <c r="G2">
        <v>1</v>
      </c>
      <c r="H2">
        <v>1</v>
      </c>
      <c r="I2" t="s">
        <v>463</v>
      </c>
      <c r="K2" t="s">
        <v>464</v>
      </c>
      <c r="L2">
        <v>1191</v>
      </c>
      <c r="N2">
        <v>1013</v>
      </c>
      <c r="O2" t="s">
        <v>462</v>
      </c>
      <c r="P2" t="s">
        <v>462</v>
      </c>
      <c r="Q2">
        <v>1</v>
      </c>
      <c r="X2">
        <v>11.41</v>
      </c>
      <c r="Y2">
        <v>0</v>
      </c>
      <c r="Z2">
        <v>0</v>
      </c>
      <c r="AA2">
        <v>0</v>
      </c>
      <c r="AB2">
        <v>7.8</v>
      </c>
      <c r="AC2">
        <v>0</v>
      </c>
      <c r="AD2">
        <v>1</v>
      </c>
      <c r="AE2">
        <v>1</v>
      </c>
      <c r="AF2" t="s">
        <v>108</v>
      </c>
      <c r="AG2">
        <v>15.061200000000001</v>
      </c>
      <c r="AH2">
        <v>2</v>
      </c>
      <c r="AI2">
        <v>42254896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ROW(Source!A67)</f>
        <v>67</v>
      </c>
      <c r="B3">
        <v>42254902</v>
      </c>
      <c r="C3">
        <v>42254895</v>
      </c>
      <c r="D3">
        <v>37064876</v>
      </c>
      <c r="E3">
        <v>1</v>
      </c>
      <c r="F3">
        <v>1</v>
      </c>
      <c r="G3">
        <v>1</v>
      </c>
      <c r="H3">
        <v>1</v>
      </c>
      <c r="I3" t="s">
        <v>465</v>
      </c>
      <c r="K3" t="s">
        <v>466</v>
      </c>
      <c r="L3">
        <v>1191</v>
      </c>
      <c r="N3">
        <v>1013</v>
      </c>
      <c r="O3" t="s">
        <v>462</v>
      </c>
      <c r="P3" t="s">
        <v>462</v>
      </c>
      <c r="Q3">
        <v>1</v>
      </c>
      <c r="X3">
        <v>33.09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108</v>
      </c>
      <c r="AG3">
        <v>43.67880000000001</v>
      </c>
      <c r="AH3">
        <v>2</v>
      </c>
      <c r="AI3">
        <v>42254897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ROW(Source!A67)</f>
        <v>67</v>
      </c>
      <c r="B4">
        <v>42254903</v>
      </c>
      <c r="C4">
        <v>42254895</v>
      </c>
      <c r="D4">
        <v>36881356</v>
      </c>
      <c r="E4">
        <v>1</v>
      </c>
      <c r="F4">
        <v>1</v>
      </c>
      <c r="G4">
        <v>1</v>
      </c>
      <c r="H4">
        <v>2</v>
      </c>
      <c r="I4" t="s">
        <v>467</v>
      </c>
      <c r="J4" t="s">
        <v>468</v>
      </c>
      <c r="K4" t="s">
        <v>469</v>
      </c>
      <c r="L4">
        <v>1368</v>
      </c>
      <c r="N4">
        <v>1011</v>
      </c>
      <c r="O4" t="s">
        <v>470</v>
      </c>
      <c r="P4" t="s">
        <v>470</v>
      </c>
      <c r="Q4">
        <v>1</v>
      </c>
      <c r="X4">
        <v>7.84</v>
      </c>
      <c r="Y4">
        <v>0</v>
      </c>
      <c r="Z4">
        <v>79.07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108</v>
      </c>
      <c r="AG4">
        <v>10.3488</v>
      </c>
      <c r="AH4">
        <v>2</v>
      </c>
      <c r="AI4">
        <v>42254898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ROW(Source!A67)</f>
        <v>67</v>
      </c>
      <c r="B5">
        <v>42254904</v>
      </c>
      <c r="C5">
        <v>42254895</v>
      </c>
      <c r="D5">
        <v>36881471</v>
      </c>
      <c r="E5">
        <v>1</v>
      </c>
      <c r="F5">
        <v>1</v>
      </c>
      <c r="G5">
        <v>1</v>
      </c>
      <c r="H5">
        <v>2</v>
      </c>
      <c r="I5" t="s">
        <v>471</v>
      </c>
      <c r="J5" t="s">
        <v>472</v>
      </c>
      <c r="K5" t="s">
        <v>473</v>
      </c>
      <c r="L5">
        <v>1368</v>
      </c>
      <c r="N5">
        <v>1011</v>
      </c>
      <c r="O5" t="s">
        <v>470</v>
      </c>
      <c r="P5" t="s">
        <v>470</v>
      </c>
      <c r="Q5">
        <v>1</v>
      </c>
      <c r="X5">
        <v>25.25</v>
      </c>
      <c r="Y5">
        <v>0</v>
      </c>
      <c r="Z5">
        <v>115.27</v>
      </c>
      <c r="AA5">
        <v>13.5</v>
      </c>
      <c r="AB5">
        <v>0</v>
      </c>
      <c r="AC5">
        <v>0</v>
      </c>
      <c r="AD5">
        <v>1</v>
      </c>
      <c r="AE5">
        <v>0</v>
      </c>
      <c r="AF5" t="s">
        <v>108</v>
      </c>
      <c r="AG5">
        <v>33.33</v>
      </c>
      <c r="AH5">
        <v>2</v>
      </c>
      <c r="AI5">
        <v>42254899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ROW(Source!A67)</f>
        <v>67</v>
      </c>
      <c r="B6">
        <v>42254905</v>
      </c>
      <c r="C6">
        <v>42254895</v>
      </c>
      <c r="D6">
        <v>36806211</v>
      </c>
      <c r="E6">
        <v>1</v>
      </c>
      <c r="F6">
        <v>1</v>
      </c>
      <c r="G6">
        <v>1</v>
      </c>
      <c r="H6">
        <v>3</v>
      </c>
      <c r="I6" t="s">
        <v>474</v>
      </c>
      <c r="J6" t="s">
        <v>475</v>
      </c>
      <c r="K6" t="s">
        <v>476</v>
      </c>
      <c r="L6">
        <v>1339</v>
      </c>
      <c r="N6">
        <v>1007</v>
      </c>
      <c r="O6" t="s">
        <v>140</v>
      </c>
      <c r="P6" t="s">
        <v>140</v>
      </c>
      <c r="Q6">
        <v>1</v>
      </c>
      <c r="X6">
        <v>0.04</v>
      </c>
      <c r="Y6">
        <v>108.4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0.04</v>
      </c>
      <c r="AH6">
        <v>2</v>
      </c>
      <c r="AI6">
        <v>42254900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ROW(Source!A68)</f>
        <v>68</v>
      </c>
      <c r="B7">
        <v>42254908</v>
      </c>
      <c r="C7">
        <v>42254906</v>
      </c>
      <c r="D7">
        <v>37069968</v>
      </c>
      <c r="E7">
        <v>1</v>
      </c>
      <c r="F7">
        <v>1</v>
      </c>
      <c r="G7">
        <v>1</v>
      </c>
      <c r="H7">
        <v>1</v>
      </c>
      <c r="I7" t="s">
        <v>477</v>
      </c>
      <c r="K7" t="s">
        <v>478</v>
      </c>
      <c r="L7">
        <v>1191</v>
      </c>
      <c r="N7">
        <v>1013</v>
      </c>
      <c r="O7" t="s">
        <v>462</v>
      </c>
      <c r="P7" t="s">
        <v>462</v>
      </c>
      <c r="Q7">
        <v>1</v>
      </c>
      <c r="X7">
        <v>189</v>
      </c>
      <c r="Y7">
        <v>0</v>
      </c>
      <c r="Z7">
        <v>0</v>
      </c>
      <c r="AA7">
        <v>0</v>
      </c>
      <c r="AB7">
        <v>8.38</v>
      </c>
      <c r="AC7">
        <v>0</v>
      </c>
      <c r="AD7">
        <v>1</v>
      </c>
      <c r="AE7">
        <v>1</v>
      </c>
      <c r="AF7" t="s">
        <v>117</v>
      </c>
      <c r="AG7">
        <v>217.35</v>
      </c>
      <c r="AH7">
        <v>2</v>
      </c>
      <c r="AI7">
        <v>42254907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ROW(Source!A69)</f>
        <v>69</v>
      </c>
      <c r="B8">
        <v>42254911</v>
      </c>
      <c r="C8">
        <v>42254909</v>
      </c>
      <c r="D8">
        <v>37071503</v>
      </c>
      <c r="E8">
        <v>1</v>
      </c>
      <c r="F8">
        <v>1</v>
      </c>
      <c r="G8">
        <v>1</v>
      </c>
      <c r="H8">
        <v>1</v>
      </c>
      <c r="I8" t="s">
        <v>479</v>
      </c>
      <c r="K8" t="s">
        <v>480</v>
      </c>
      <c r="L8">
        <v>1191</v>
      </c>
      <c r="N8">
        <v>1013</v>
      </c>
      <c r="O8" t="s">
        <v>462</v>
      </c>
      <c r="P8" t="s">
        <v>462</v>
      </c>
      <c r="Q8">
        <v>1</v>
      </c>
      <c r="X8">
        <v>53.56</v>
      </c>
      <c r="Y8">
        <v>0</v>
      </c>
      <c r="Z8">
        <v>0</v>
      </c>
      <c r="AA8">
        <v>0</v>
      </c>
      <c r="AB8">
        <v>7.5</v>
      </c>
      <c r="AC8">
        <v>0</v>
      </c>
      <c r="AD8">
        <v>1</v>
      </c>
      <c r="AE8">
        <v>1</v>
      </c>
      <c r="AG8">
        <v>53.56</v>
      </c>
      <c r="AH8">
        <v>2</v>
      </c>
      <c r="AI8">
        <v>42254910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ROW(Source!A71)</f>
        <v>71</v>
      </c>
      <c r="B9">
        <v>42254919</v>
      </c>
      <c r="C9">
        <v>42254913</v>
      </c>
      <c r="D9">
        <v>37064998</v>
      </c>
      <c r="E9">
        <v>1</v>
      </c>
      <c r="F9">
        <v>1</v>
      </c>
      <c r="G9">
        <v>1</v>
      </c>
      <c r="H9">
        <v>1</v>
      </c>
      <c r="I9" t="s">
        <v>463</v>
      </c>
      <c r="K9" t="s">
        <v>464</v>
      </c>
      <c r="L9">
        <v>1191</v>
      </c>
      <c r="N9">
        <v>1013</v>
      </c>
      <c r="O9" t="s">
        <v>462</v>
      </c>
      <c r="P9" t="s">
        <v>462</v>
      </c>
      <c r="Q9">
        <v>1</v>
      </c>
      <c r="X9">
        <v>3.65</v>
      </c>
      <c r="Y9">
        <v>0</v>
      </c>
      <c r="Z9">
        <v>0</v>
      </c>
      <c r="AA9">
        <v>0</v>
      </c>
      <c r="AB9">
        <v>7.8</v>
      </c>
      <c r="AC9">
        <v>0</v>
      </c>
      <c r="AD9">
        <v>1</v>
      </c>
      <c r="AE9">
        <v>1</v>
      </c>
      <c r="AG9">
        <v>3.65</v>
      </c>
      <c r="AH9">
        <v>2</v>
      </c>
      <c r="AI9">
        <v>42254914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ROW(Source!A71)</f>
        <v>71</v>
      </c>
      <c r="B10">
        <v>42254920</v>
      </c>
      <c r="C10">
        <v>42254913</v>
      </c>
      <c r="D10">
        <v>37064876</v>
      </c>
      <c r="E10">
        <v>1</v>
      </c>
      <c r="F10">
        <v>1</v>
      </c>
      <c r="G10">
        <v>1</v>
      </c>
      <c r="H10">
        <v>1</v>
      </c>
      <c r="I10" t="s">
        <v>465</v>
      </c>
      <c r="K10" t="s">
        <v>466</v>
      </c>
      <c r="L10">
        <v>1191</v>
      </c>
      <c r="N10">
        <v>1013</v>
      </c>
      <c r="O10" t="s">
        <v>462</v>
      </c>
      <c r="P10" t="s">
        <v>462</v>
      </c>
      <c r="Q10">
        <v>1</v>
      </c>
      <c r="X10">
        <v>4.05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G10">
        <v>4.05</v>
      </c>
      <c r="AH10">
        <v>2</v>
      </c>
      <c r="AI10">
        <v>42254915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ROW(Source!A71)</f>
        <v>71</v>
      </c>
      <c r="B11">
        <v>42254921</v>
      </c>
      <c r="C11">
        <v>42254913</v>
      </c>
      <c r="D11">
        <v>36881356</v>
      </c>
      <c r="E11">
        <v>1</v>
      </c>
      <c r="F11">
        <v>1</v>
      </c>
      <c r="G11">
        <v>1</v>
      </c>
      <c r="H11">
        <v>2</v>
      </c>
      <c r="I11" t="s">
        <v>467</v>
      </c>
      <c r="J11" t="s">
        <v>468</v>
      </c>
      <c r="K11" t="s">
        <v>469</v>
      </c>
      <c r="L11">
        <v>1368</v>
      </c>
      <c r="N11">
        <v>1011</v>
      </c>
      <c r="O11" t="s">
        <v>470</v>
      </c>
      <c r="P11" t="s">
        <v>470</v>
      </c>
      <c r="Q11">
        <v>1</v>
      </c>
      <c r="X11">
        <v>3.97</v>
      </c>
      <c r="Y11">
        <v>0</v>
      </c>
      <c r="Z11">
        <v>79.07</v>
      </c>
      <c r="AA11">
        <v>13.5</v>
      </c>
      <c r="AB11">
        <v>0</v>
      </c>
      <c r="AC11">
        <v>0</v>
      </c>
      <c r="AD11">
        <v>1</v>
      </c>
      <c r="AE11">
        <v>0</v>
      </c>
      <c r="AG11">
        <v>3.97</v>
      </c>
      <c r="AH11">
        <v>2</v>
      </c>
      <c r="AI11">
        <v>42254916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ROW(Source!A71)</f>
        <v>71</v>
      </c>
      <c r="B12">
        <v>42254922</v>
      </c>
      <c r="C12">
        <v>42254913</v>
      </c>
      <c r="D12">
        <v>36883560</v>
      </c>
      <c r="E12">
        <v>1</v>
      </c>
      <c r="F12">
        <v>1</v>
      </c>
      <c r="G12">
        <v>1</v>
      </c>
      <c r="H12">
        <v>2</v>
      </c>
      <c r="I12" t="s">
        <v>481</v>
      </c>
      <c r="J12" t="s">
        <v>482</v>
      </c>
      <c r="K12" t="s">
        <v>483</v>
      </c>
      <c r="L12">
        <v>1368</v>
      </c>
      <c r="N12">
        <v>1011</v>
      </c>
      <c r="O12" t="s">
        <v>470</v>
      </c>
      <c r="P12" t="s">
        <v>470</v>
      </c>
      <c r="Q12">
        <v>1</v>
      </c>
      <c r="X12">
        <v>0.08</v>
      </c>
      <c r="Y12">
        <v>0</v>
      </c>
      <c r="Z12">
        <v>89.54</v>
      </c>
      <c r="AA12">
        <v>11.6</v>
      </c>
      <c r="AB12">
        <v>0</v>
      </c>
      <c r="AC12">
        <v>0</v>
      </c>
      <c r="AD12">
        <v>1</v>
      </c>
      <c r="AE12">
        <v>0</v>
      </c>
      <c r="AG12">
        <v>0.08</v>
      </c>
      <c r="AH12">
        <v>2</v>
      </c>
      <c r="AI12">
        <v>42254917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ROW(Source!A71)</f>
        <v>71</v>
      </c>
      <c r="B13">
        <v>42254923</v>
      </c>
      <c r="C13">
        <v>42254913</v>
      </c>
      <c r="D13">
        <v>36806211</v>
      </c>
      <c r="E13">
        <v>1</v>
      </c>
      <c r="F13">
        <v>1</v>
      </c>
      <c r="G13">
        <v>1</v>
      </c>
      <c r="H13">
        <v>3</v>
      </c>
      <c r="I13" t="s">
        <v>474</v>
      </c>
      <c r="J13" t="s">
        <v>475</v>
      </c>
      <c r="K13" t="s">
        <v>476</v>
      </c>
      <c r="L13">
        <v>1339</v>
      </c>
      <c r="N13">
        <v>1007</v>
      </c>
      <c r="O13" t="s">
        <v>140</v>
      </c>
      <c r="P13" t="s">
        <v>140</v>
      </c>
      <c r="Q13">
        <v>1</v>
      </c>
      <c r="X13">
        <v>0.04</v>
      </c>
      <c r="Y13">
        <v>108.4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0.04</v>
      </c>
      <c r="AH13">
        <v>2</v>
      </c>
      <c r="AI13">
        <v>42254918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ROW(Source!A72)</f>
        <v>72</v>
      </c>
      <c r="B14">
        <v>42254927</v>
      </c>
      <c r="C14">
        <v>42254924</v>
      </c>
      <c r="D14">
        <v>37064876</v>
      </c>
      <c r="E14">
        <v>1</v>
      </c>
      <c r="F14">
        <v>1</v>
      </c>
      <c r="G14">
        <v>1</v>
      </c>
      <c r="H14">
        <v>1</v>
      </c>
      <c r="I14" t="s">
        <v>465</v>
      </c>
      <c r="K14" t="s">
        <v>466</v>
      </c>
      <c r="L14">
        <v>1191</v>
      </c>
      <c r="N14">
        <v>1013</v>
      </c>
      <c r="O14" t="s">
        <v>462</v>
      </c>
      <c r="P14" t="s">
        <v>462</v>
      </c>
      <c r="Q14">
        <v>1</v>
      </c>
      <c r="X14">
        <v>7.6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G14">
        <v>7.6</v>
      </c>
      <c r="AH14">
        <v>2</v>
      </c>
      <c r="AI14">
        <v>42254925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ROW(Source!A72)</f>
        <v>72</v>
      </c>
      <c r="B15">
        <v>42254928</v>
      </c>
      <c r="C15">
        <v>42254924</v>
      </c>
      <c r="D15">
        <v>36881354</v>
      </c>
      <c r="E15">
        <v>1</v>
      </c>
      <c r="F15">
        <v>1</v>
      </c>
      <c r="G15">
        <v>1</v>
      </c>
      <c r="H15">
        <v>2</v>
      </c>
      <c r="I15" t="s">
        <v>484</v>
      </c>
      <c r="J15" t="s">
        <v>485</v>
      </c>
      <c r="K15" t="s">
        <v>486</v>
      </c>
      <c r="L15">
        <v>1368</v>
      </c>
      <c r="N15">
        <v>1011</v>
      </c>
      <c r="O15" t="s">
        <v>470</v>
      </c>
      <c r="P15" t="s">
        <v>470</v>
      </c>
      <c r="Q15">
        <v>1</v>
      </c>
      <c r="X15">
        <v>7.6</v>
      </c>
      <c r="Y15">
        <v>0</v>
      </c>
      <c r="Z15">
        <v>59.47</v>
      </c>
      <c r="AA15">
        <v>11.6</v>
      </c>
      <c r="AB15">
        <v>0</v>
      </c>
      <c r="AC15">
        <v>0</v>
      </c>
      <c r="AD15">
        <v>1</v>
      </c>
      <c r="AE15">
        <v>0</v>
      </c>
      <c r="AG15">
        <v>7.6</v>
      </c>
      <c r="AH15">
        <v>2</v>
      </c>
      <c r="AI15">
        <v>42254926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ROW(Source!A73)</f>
        <v>73</v>
      </c>
      <c r="B16">
        <v>42254933</v>
      </c>
      <c r="C16">
        <v>42254929</v>
      </c>
      <c r="D16">
        <v>37064876</v>
      </c>
      <c r="E16">
        <v>1</v>
      </c>
      <c r="F16">
        <v>1</v>
      </c>
      <c r="G16">
        <v>1</v>
      </c>
      <c r="H16">
        <v>1</v>
      </c>
      <c r="I16" t="s">
        <v>465</v>
      </c>
      <c r="K16" t="s">
        <v>466</v>
      </c>
      <c r="L16">
        <v>1191</v>
      </c>
      <c r="N16">
        <v>1013</v>
      </c>
      <c r="O16" t="s">
        <v>462</v>
      </c>
      <c r="P16" t="s">
        <v>462</v>
      </c>
      <c r="Q16">
        <v>1</v>
      </c>
      <c r="X16">
        <v>4.26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2</v>
      </c>
      <c r="AG16">
        <v>4.26</v>
      </c>
      <c r="AH16">
        <v>2</v>
      </c>
      <c r="AI16">
        <v>42254930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ROW(Source!A73)</f>
        <v>73</v>
      </c>
      <c r="B17">
        <v>42254934</v>
      </c>
      <c r="C17">
        <v>42254929</v>
      </c>
      <c r="D17">
        <v>36881354</v>
      </c>
      <c r="E17">
        <v>1</v>
      </c>
      <c r="F17">
        <v>1</v>
      </c>
      <c r="G17">
        <v>1</v>
      </c>
      <c r="H17">
        <v>2</v>
      </c>
      <c r="I17" t="s">
        <v>484</v>
      </c>
      <c r="J17" t="s">
        <v>485</v>
      </c>
      <c r="K17" t="s">
        <v>486</v>
      </c>
      <c r="L17">
        <v>1368</v>
      </c>
      <c r="N17">
        <v>1011</v>
      </c>
      <c r="O17" t="s">
        <v>470</v>
      </c>
      <c r="P17" t="s">
        <v>470</v>
      </c>
      <c r="Q17">
        <v>1</v>
      </c>
      <c r="X17">
        <v>4.26</v>
      </c>
      <c r="Y17">
        <v>0</v>
      </c>
      <c r="Z17">
        <v>59.47</v>
      </c>
      <c r="AA17">
        <v>11.6</v>
      </c>
      <c r="AB17">
        <v>0</v>
      </c>
      <c r="AC17">
        <v>0</v>
      </c>
      <c r="AD17">
        <v>1</v>
      </c>
      <c r="AE17">
        <v>0</v>
      </c>
      <c r="AG17">
        <v>4.26</v>
      </c>
      <c r="AH17">
        <v>2</v>
      </c>
      <c r="AI17">
        <v>42254931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ROW(Source!A75)</f>
        <v>75</v>
      </c>
      <c r="B18">
        <v>42254941</v>
      </c>
      <c r="C18">
        <v>42254936</v>
      </c>
      <c r="D18">
        <v>37065248</v>
      </c>
      <c r="E18">
        <v>1</v>
      </c>
      <c r="F18">
        <v>1</v>
      </c>
      <c r="G18">
        <v>1</v>
      </c>
      <c r="H18">
        <v>1</v>
      </c>
      <c r="I18" t="s">
        <v>460</v>
      </c>
      <c r="K18" t="s">
        <v>461</v>
      </c>
      <c r="L18">
        <v>1191</v>
      </c>
      <c r="N18">
        <v>1013</v>
      </c>
      <c r="O18" t="s">
        <v>462</v>
      </c>
      <c r="P18" t="s">
        <v>462</v>
      </c>
      <c r="Q18">
        <v>1</v>
      </c>
      <c r="X18">
        <v>12.53</v>
      </c>
      <c r="Y18">
        <v>0</v>
      </c>
      <c r="Z18">
        <v>0</v>
      </c>
      <c r="AA18">
        <v>0</v>
      </c>
      <c r="AB18">
        <v>8.53</v>
      </c>
      <c r="AC18">
        <v>0</v>
      </c>
      <c r="AD18">
        <v>1</v>
      </c>
      <c r="AE18">
        <v>1</v>
      </c>
      <c r="AG18">
        <v>12.53</v>
      </c>
      <c r="AH18">
        <v>2</v>
      </c>
      <c r="AI18">
        <v>42254937</v>
      </c>
      <c r="AJ18">
        <v>19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ROW(Source!A75)</f>
        <v>75</v>
      </c>
      <c r="B19">
        <v>42254942</v>
      </c>
      <c r="C19">
        <v>42254936</v>
      </c>
      <c r="D19">
        <v>37064876</v>
      </c>
      <c r="E19">
        <v>1</v>
      </c>
      <c r="F19">
        <v>1</v>
      </c>
      <c r="G19">
        <v>1</v>
      </c>
      <c r="H19">
        <v>1</v>
      </c>
      <c r="I19" t="s">
        <v>465</v>
      </c>
      <c r="K19" t="s">
        <v>466</v>
      </c>
      <c r="L19">
        <v>1191</v>
      </c>
      <c r="N19">
        <v>1013</v>
      </c>
      <c r="O19" t="s">
        <v>462</v>
      </c>
      <c r="P19" t="s">
        <v>462</v>
      </c>
      <c r="Q19">
        <v>1</v>
      </c>
      <c r="X19">
        <v>3.04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2</v>
      </c>
      <c r="AG19">
        <v>3.04</v>
      </c>
      <c r="AH19">
        <v>2</v>
      </c>
      <c r="AI19">
        <v>42254938</v>
      </c>
      <c r="AJ19">
        <v>20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ROW(Source!A75)</f>
        <v>75</v>
      </c>
      <c r="B20">
        <v>42254943</v>
      </c>
      <c r="C20">
        <v>42254936</v>
      </c>
      <c r="D20">
        <v>36882890</v>
      </c>
      <c r="E20">
        <v>1</v>
      </c>
      <c r="F20">
        <v>1</v>
      </c>
      <c r="G20">
        <v>1</v>
      </c>
      <c r="H20">
        <v>2</v>
      </c>
      <c r="I20" t="s">
        <v>487</v>
      </c>
      <c r="J20" t="s">
        <v>488</v>
      </c>
      <c r="K20" t="s">
        <v>489</v>
      </c>
      <c r="L20">
        <v>1368</v>
      </c>
      <c r="N20">
        <v>1011</v>
      </c>
      <c r="O20" t="s">
        <v>470</v>
      </c>
      <c r="P20" t="s">
        <v>470</v>
      </c>
      <c r="Q20">
        <v>1</v>
      </c>
      <c r="X20">
        <v>12.18</v>
      </c>
      <c r="Y20">
        <v>0</v>
      </c>
      <c r="Z20">
        <v>0.55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12.18</v>
      </c>
      <c r="AH20">
        <v>2</v>
      </c>
      <c r="AI20">
        <v>42254939</v>
      </c>
      <c r="AJ20">
        <v>21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ROW(Source!A75)</f>
        <v>75</v>
      </c>
      <c r="B21">
        <v>42254944</v>
      </c>
      <c r="C21">
        <v>42254936</v>
      </c>
      <c r="D21">
        <v>36883878</v>
      </c>
      <c r="E21">
        <v>1</v>
      </c>
      <c r="F21">
        <v>1</v>
      </c>
      <c r="G21">
        <v>1</v>
      </c>
      <c r="H21">
        <v>2</v>
      </c>
      <c r="I21" t="s">
        <v>490</v>
      </c>
      <c r="J21" t="s">
        <v>491</v>
      </c>
      <c r="K21" t="s">
        <v>492</v>
      </c>
      <c r="L21">
        <v>1368</v>
      </c>
      <c r="N21">
        <v>1011</v>
      </c>
      <c r="O21" t="s">
        <v>470</v>
      </c>
      <c r="P21" t="s">
        <v>470</v>
      </c>
      <c r="Q21">
        <v>1</v>
      </c>
      <c r="X21">
        <v>3.04</v>
      </c>
      <c r="Y21">
        <v>0</v>
      </c>
      <c r="Z21">
        <v>90</v>
      </c>
      <c r="AA21">
        <v>10.06</v>
      </c>
      <c r="AB21">
        <v>0</v>
      </c>
      <c r="AC21">
        <v>0</v>
      </c>
      <c r="AD21">
        <v>1</v>
      </c>
      <c r="AE21">
        <v>0</v>
      </c>
      <c r="AG21">
        <v>3.04</v>
      </c>
      <c r="AH21">
        <v>2</v>
      </c>
      <c r="AI21">
        <v>42254940</v>
      </c>
      <c r="AJ21">
        <v>22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ROW(Source!A110)</f>
        <v>110</v>
      </c>
      <c r="B22">
        <v>42254757</v>
      </c>
      <c r="C22">
        <v>42254746</v>
      </c>
      <c r="D22">
        <v>37071037</v>
      </c>
      <c r="E22">
        <v>1</v>
      </c>
      <c r="F22">
        <v>1</v>
      </c>
      <c r="G22">
        <v>1</v>
      </c>
      <c r="H22">
        <v>1</v>
      </c>
      <c r="I22" t="s">
        <v>493</v>
      </c>
      <c r="K22" t="s">
        <v>494</v>
      </c>
      <c r="L22">
        <v>1191</v>
      </c>
      <c r="N22">
        <v>1013</v>
      </c>
      <c r="O22" t="s">
        <v>462</v>
      </c>
      <c r="P22" t="s">
        <v>462</v>
      </c>
      <c r="Q22">
        <v>1</v>
      </c>
      <c r="X22">
        <v>42.3</v>
      </c>
      <c r="Y22">
        <v>0</v>
      </c>
      <c r="Z22">
        <v>0</v>
      </c>
      <c r="AA22">
        <v>0</v>
      </c>
      <c r="AB22">
        <v>9.62</v>
      </c>
      <c r="AC22">
        <v>0</v>
      </c>
      <c r="AD22">
        <v>1</v>
      </c>
      <c r="AE22">
        <v>1</v>
      </c>
      <c r="AG22">
        <v>42.3</v>
      </c>
      <c r="AH22">
        <v>2</v>
      </c>
      <c r="AI22">
        <v>42254747</v>
      </c>
      <c r="AJ22">
        <v>23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ROW(Source!A110)</f>
        <v>110</v>
      </c>
      <c r="B23">
        <v>42254758</v>
      </c>
      <c r="C23">
        <v>42254746</v>
      </c>
      <c r="D23">
        <v>37064876</v>
      </c>
      <c r="E23">
        <v>1</v>
      </c>
      <c r="F23">
        <v>1</v>
      </c>
      <c r="G23">
        <v>1</v>
      </c>
      <c r="H23">
        <v>1</v>
      </c>
      <c r="I23" t="s">
        <v>465</v>
      </c>
      <c r="K23" t="s">
        <v>466</v>
      </c>
      <c r="L23">
        <v>1191</v>
      </c>
      <c r="N23">
        <v>1013</v>
      </c>
      <c r="O23" t="s">
        <v>462</v>
      </c>
      <c r="P23" t="s">
        <v>462</v>
      </c>
      <c r="Q23">
        <v>1</v>
      </c>
      <c r="X23">
        <v>12.09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2</v>
      </c>
      <c r="AG23">
        <v>12.09</v>
      </c>
      <c r="AH23">
        <v>2</v>
      </c>
      <c r="AI23">
        <v>42254748</v>
      </c>
      <c r="AJ23">
        <v>24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ROW(Source!A110)</f>
        <v>110</v>
      </c>
      <c r="B24">
        <v>42254759</v>
      </c>
      <c r="C24">
        <v>42254746</v>
      </c>
      <c r="D24">
        <v>36882159</v>
      </c>
      <c r="E24">
        <v>1</v>
      </c>
      <c r="F24">
        <v>1</v>
      </c>
      <c r="G24">
        <v>1</v>
      </c>
      <c r="H24">
        <v>2</v>
      </c>
      <c r="I24" t="s">
        <v>495</v>
      </c>
      <c r="J24" t="s">
        <v>496</v>
      </c>
      <c r="K24" t="s">
        <v>497</v>
      </c>
      <c r="L24">
        <v>1368</v>
      </c>
      <c r="N24">
        <v>1011</v>
      </c>
      <c r="O24" t="s">
        <v>470</v>
      </c>
      <c r="P24" t="s">
        <v>470</v>
      </c>
      <c r="Q24">
        <v>1</v>
      </c>
      <c r="X24">
        <v>9.87</v>
      </c>
      <c r="Y24">
        <v>0</v>
      </c>
      <c r="Z24">
        <v>111.99</v>
      </c>
      <c r="AA24">
        <v>13.5</v>
      </c>
      <c r="AB24">
        <v>0</v>
      </c>
      <c r="AC24">
        <v>0</v>
      </c>
      <c r="AD24">
        <v>1</v>
      </c>
      <c r="AE24">
        <v>0</v>
      </c>
      <c r="AG24">
        <v>9.87</v>
      </c>
      <c r="AH24">
        <v>2</v>
      </c>
      <c r="AI24">
        <v>42254749</v>
      </c>
      <c r="AJ24">
        <v>25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ROW(Source!A110)</f>
        <v>110</v>
      </c>
      <c r="B25">
        <v>42254760</v>
      </c>
      <c r="C25">
        <v>42254746</v>
      </c>
      <c r="D25">
        <v>36883554</v>
      </c>
      <c r="E25">
        <v>1</v>
      </c>
      <c r="F25">
        <v>1</v>
      </c>
      <c r="G25">
        <v>1</v>
      </c>
      <c r="H25">
        <v>2</v>
      </c>
      <c r="I25" t="s">
        <v>498</v>
      </c>
      <c r="J25" t="s">
        <v>499</v>
      </c>
      <c r="K25" t="s">
        <v>500</v>
      </c>
      <c r="L25">
        <v>1368</v>
      </c>
      <c r="N25">
        <v>1011</v>
      </c>
      <c r="O25" t="s">
        <v>470</v>
      </c>
      <c r="P25" t="s">
        <v>470</v>
      </c>
      <c r="Q25">
        <v>1</v>
      </c>
      <c r="X25">
        <v>2.22</v>
      </c>
      <c r="Y25">
        <v>0</v>
      </c>
      <c r="Z25">
        <v>65.71</v>
      </c>
      <c r="AA25">
        <v>11.6</v>
      </c>
      <c r="AB25">
        <v>0</v>
      </c>
      <c r="AC25">
        <v>0</v>
      </c>
      <c r="AD25">
        <v>1</v>
      </c>
      <c r="AE25">
        <v>0</v>
      </c>
      <c r="AG25">
        <v>2.22</v>
      </c>
      <c r="AH25">
        <v>2</v>
      </c>
      <c r="AI25">
        <v>42254750</v>
      </c>
      <c r="AJ25">
        <v>26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ROW(Source!A110)</f>
        <v>110</v>
      </c>
      <c r="B26">
        <v>42254761</v>
      </c>
      <c r="C26">
        <v>42254746</v>
      </c>
      <c r="D26">
        <v>36883858</v>
      </c>
      <c r="E26">
        <v>1</v>
      </c>
      <c r="F26">
        <v>1</v>
      </c>
      <c r="G26">
        <v>1</v>
      </c>
      <c r="H26">
        <v>2</v>
      </c>
      <c r="I26" t="s">
        <v>501</v>
      </c>
      <c r="J26" t="s">
        <v>502</v>
      </c>
      <c r="K26" t="s">
        <v>503</v>
      </c>
      <c r="L26">
        <v>1368</v>
      </c>
      <c r="N26">
        <v>1011</v>
      </c>
      <c r="O26" t="s">
        <v>470</v>
      </c>
      <c r="P26" t="s">
        <v>470</v>
      </c>
      <c r="Q26">
        <v>1</v>
      </c>
      <c r="X26">
        <v>2.34</v>
      </c>
      <c r="Y26">
        <v>0</v>
      </c>
      <c r="Z26">
        <v>8.1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2.34</v>
      </c>
      <c r="AH26">
        <v>2</v>
      </c>
      <c r="AI26">
        <v>42254751</v>
      </c>
      <c r="AJ26">
        <v>27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ROW(Source!A110)</f>
        <v>110</v>
      </c>
      <c r="B27">
        <v>42254762</v>
      </c>
      <c r="C27">
        <v>42254746</v>
      </c>
      <c r="D27">
        <v>36799674</v>
      </c>
      <c r="E27">
        <v>1</v>
      </c>
      <c r="F27">
        <v>1</v>
      </c>
      <c r="G27">
        <v>1</v>
      </c>
      <c r="H27">
        <v>3</v>
      </c>
      <c r="I27" t="s">
        <v>504</v>
      </c>
      <c r="J27" t="s">
        <v>505</v>
      </c>
      <c r="K27" t="s">
        <v>506</v>
      </c>
      <c r="L27">
        <v>1348</v>
      </c>
      <c r="N27">
        <v>1009</v>
      </c>
      <c r="O27" t="s">
        <v>246</v>
      </c>
      <c r="P27" t="s">
        <v>246</v>
      </c>
      <c r="Q27">
        <v>1000</v>
      </c>
      <c r="X27">
        <v>0.0015</v>
      </c>
      <c r="Y27">
        <v>26950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0.0015</v>
      </c>
      <c r="AH27">
        <v>2</v>
      </c>
      <c r="AI27">
        <v>42254752</v>
      </c>
      <c r="AJ27">
        <v>28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ROW(Source!A110)</f>
        <v>110</v>
      </c>
      <c r="B28">
        <v>42254763</v>
      </c>
      <c r="C28">
        <v>42254746</v>
      </c>
      <c r="D28">
        <v>36803258</v>
      </c>
      <c r="E28">
        <v>1</v>
      </c>
      <c r="F28">
        <v>1</v>
      </c>
      <c r="G28">
        <v>1</v>
      </c>
      <c r="H28">
        <v>3</v>
      </c>
      <c r="I28" t="s">
        <v>507</v>
      </c>
      <c r="J28" t="s">
        <v>508</v>
      </c>
      <c r="K28" t="s">
        <v>509</v>
      </c>
      <c r="L28">
        <v>1346</v>
      </c>
      <c r="N28">
        <v>1009</v>
      </c>
      <c r="O28" t="s">
        <v>386</v>
      </c>
      <c r="P28" t="s">
        <v>386</v>
      </c>
      <c r="Q28">
        <v>1</v>
      </c>
      <c r="X28">
        <v>0.5</v>
      </c>
      <c r="Y28">
        <v>10.57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0.5</v>
      </c>
      <c r="AH28">
        <v>2</v>
      </c>
      <c r="AI28">
        <v>42254753</v>
      </c>
      <c r="AJ28">
        <v>29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ROW(Source!A110)</f>
        <v>110</v>
      </c>
      <c r="B29">
        <v>42254764</v>
      </c>
      <c r="C29">
        <v>42254746</v>
      </c>
      <c r="D29">
        <v>36825981</v>
      </c>
      <c r="E29">
        <v>1</v>
      </c>
      <c r="F29">
        <v>1</v>
      </c>
      <c r="G29">
        <v>1</v>
      </c>
      <c r="H29">
        <v>3</v>
      </c>
      <c r="I29" t="s">
        <v>510</v>
      </c>
      <c r="J29" t="s">
        <v>511</v>
      </c>
      <c r="K29" t="s">
        <v>512</v>
      </c>
      <c r="L29">
        <v>1348</v>
      </c>
      <c r="N29">
        <v>1009</v>
      </c>
      <c r="O29" t="s">
        <v>246</v>
      </c>
      <c r="P29" t="s">
        <v>246</v>
      </c>
      <c r="Q29">
        <v>1000</v>
      </c>
      <c r="X29">
        <v>0.009</v>
      </c>
      <c r="Y29">
        <v>5000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0.009</v>
      </c>
      <c r="AH29">
        <v>2</v>
      </c>
      <c r="AI29">
        <v>42254754</v>
      </c>
      <c r="AJ29">
        <v>30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ROW(Source!A110)</f>
        <v>110</v>
      </c>
      <c r="B30">
        <v>42254765</v>
      </c>
      <c r="C30">
        <v>42254746</v>
      </c>
      <c r="D30">
        <v>36838633</v>
      </c>
      <c r="E30">
        <v>1</v>
      </c>
      <c r="F30">
        <v>1</v>
      </c>
      <c r="G30">
        <v>1</v>
      </c>
      <c r="H30">
        <v>3</v>
      </c>
      <c r="I30" t="s">
        <v>513</v>
      </c>
      <c r="J30" t="s">
        <v>514</v>
      </c>
      <c r="K30" t="s">
        <v>515</v>
      </c>
      <c r="L30">
        <v>1348</v>
      </c>
      <c r="N30">
        <v>1009</v>
      </c>
      <c r="O30" t="s">
        <v>246</v>
      </c>
      <c r="P30" t="s">
        <v>246</v>
      </c>
      <c r="Q30">
        <v>1000</v>
      </c>
      <c r="X30">
        <v>0.00024</v>
      </c>
      <c r="Y30">
        <v>75000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0.00024</v>
      </c>
      <c r="AH30">
        <v>2</v>
      </c>
      <c r="AI30">
        <v>42254755</v>
      </c>
      <c r="AJ30">
        <v>31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ROW(Source!A110)</f>
        <v>110</v>
      </c>
      <c r="B31">
        <v>42254766</v>
      </c>
      <c r="C31">
        <v>42254746</v>
      </c>
      <c r="D31">
        <v>36799065</v>
      </c>
      <c r="E31">
        <v>17</v>
      </c>
      <c r="F31">
        <v>1</v>
      </c>
      <c r="G31">
        <v>1</v>
      </c>
      <c r="H31">
        <v>3</v>
      </c>
      <c r="I31" t="s">
        <v>516</v>
      </c>
      <c r="K31" t="s">
        <v>517</v>
      </c>
      <c r="L31">
        <v>1374</v>
      </c>
      <c r="N31">
        <v>1013</v>
      </c>
      <c r="O31" t="s">
        <v>518</v>
      </c>
      <c r="P31" t="s">
        <v>518</v>
      </c>
      <c r="Q31">
        <v>1</v>
      </c>
      <c r="X31">
        <v>8.14</v>
      </c>
      <c r="Y31">
        <v>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8.14</v>
      </c>
      <c r="AH31">
        <v>2</v>
      </c>
      <c r="AI31">
        <v>42254756</v>
      </c>
      <c r="AJ31">
        <v>32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ROW(Source!A112)</f>
        <v>112</v>
      </c>
      <c r="B32">
        <v>42254777</v>
      </c>
      <c r="C32">
        <v>42254768</v>
      </c>
      <c r="D32">
        <v>37071037</v>
      </c>
      <c r="E32">
        <v>1</v>
      </c>
      <c r="F32">
        <v>1</v>
      </c>
      <c r="G32">
        <v>1</v>
      </c>
      <c r="H32">
        <v>1</v>
      </c>
      <c r="I32" t="s">
        <v>493</v>
      </c>
      <c r="K32" t="s">
        <v>494</v>
      </c>
      <c r="L32">
        <v>1191</v>
      </c>
      <c r="N32">
        <v>1013</v>
      </c>
      <c r="O32" t="s">
        <v>462</v>
      </c>
      <c r="P32" t="s">
        <v>462</v>
      </c>
      <c r="Q32">
        <v>1</v>
      </c>
      <c r="X32">
        <v>30.1</v>
      </c>
      <c r="Y32">
        <v>0</v>
      </c>
      <c r="Z32">
        <v>0</v>
      </c>
      <c r="AA32">
        <v>0</v>
      </c>
      <c r="AB32">
        <v>9.62</v>
      </c>
      <c r="AC32">
        <v>0</v>
      </c>
      <c r="AD32">
        <v>1</v>
      </c>
      <c r="AE32">
        <v>1</v>
      </c>
      <c r="AG32">
        <v>30.1</v>
      </c>
      <c r="AH32">
        <v>2</v>
      </c>
      <c r="AI32">
        <v>42254769</v>
      </c>
      <c r="AJ32">
        <v>33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ROW(Source!A112)</f>
        <v>112</v>
      </c>
      <c r="B33">
        <v>42254778</v>
      </c>
      <c r="C33">
        <v>42254768</v>
      </c>
      <c r="D33">
        <v>37064876</v>
      </c>
      <c r="E33">
        <v>1</v>
      </c>
      <c r="F33">
        <v>1</v>
      </c>
      <c r="G33">
        <v>1</v>
      </c>
      <c r="H33">
        <v>1</v>
      </c>
      <c r="I33" t="s">
        <v>465</v>
      </c>
      <c r="K33" t="s">
        <v>466</v>
      </c>
      <c r="L33">
        <v>1191</v>
      </c>
      <c r="N33">
        <v>1013</v>
      </c>
      <c r="O33" t="s">
        <v>462</v>
      </c>
      <c r="P33" t="s">
        <v>462</v>
      </c>
      <c r="Q33">
        <v>1</v>
      </c>
      <c r="X33">
        <v>9.44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2</v>
      </c>
      <c r="AG33">
        <v>9.44</v>
      </c>
      <c r="AH33">
        <v>2</v>
      </c>
      <c r="AI33">
        <v>42254770</v>
      </c>
      <c r="AJ33">
        <v>34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ROW(Source!A112)</f>
        <v>112</v>
      </c>
      <c r="B34">
        <v>42254779</v>
      </c>
      <c r="C34">
        <v>42254768</v>
      </c>
      <c r="D34">
        <v>36882159</v>
      </c>
      <c r="E34">
        <v>1</v>
      </c>
      <c r="F34">
        <v>1</v>
      </c>
      <c r="G34">
        <v>1</v>
      </c>
      <c r="H34">
        <v>2</v>
      </c>
      <c r="I34" t="s">
        <v>495</v>
      </c>
      <c r="J34" t="s">
        <v>496</v>
      </c>
      <c r="K34" t="s">
        <v>497</v>
      </c>
      <c r="L34">
        <v>1368</v>
      </c>
      <c r="N34">
        <v>1011</v>
      </c>
      <c r="O34" t="s">
        <v>470</v>
      </c>
      <c r="P34" t="s">
        <v>470</v>
      </c>
      <c r="Q34">
        <v>1</v>
      </c>
      <c r="X34">
        <v>5.8</v>
      </c>
      <c r="Y34">
        <v>0</v>
      </c>
      <c r="Z34">
        <v>111.99</v>
      </c>
      <c r="AA34">
        <v>13.5</v>
      </c>
      <c r="AB34">
        <v>0</v>
      </c>
      <c r="AC34">
        <v>0</v>
      </c>
      <c r="AD34">
        <v>1</v>
      </c>
      <c r="AE34">
        <v>0</v>
      </c>
      <c r="AG34">
        <v>5.8</v>
      </c>
      <c r="AH34">
        <v>2</v>
      </c>
      <c r="AI34">
        <v>42254771</v>
      </c>
      <c r="AJ34">
        <v>35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ROW(Source!A112)</f>
        <v>112</v>
      </c>
      <c r="B35">
        <v>42254780</v>
      </c>
      <c r="C35">
        <v>42254768</v>
      </c>
      <c r="D35">
        <v>36883554</v>
      </c>
      <c r="E35">
        <v>1</v>
      </c>
      <c r="F35">
        <v>1</v>
      </c>
      <c r="G35">
        <v>1</v>
      </c>
      <c r="H35">
        <v>2</v>
      </c>
      <c r="I35" t="s">
        <v>498</v>
      </c>
      <c r="J35" t="s">
        <v>499</v>
      </c>
      <c r="K35" t="s">
        <v>500</v>
      </c>
      <c r="L35">
        <v>1368</v>
      </c>
      <c r="N35">
        <v>1011</v>
      </c>
      <c r="O35" t="s">
        <v>470</v>
      </c>
      <c r="P35" t="s">
        <v>470</v>
      </c>
      <c r="Q35">
        <v>1</v>
      </c>
      <c r="X35">
        <v>3.64</v>
      </c>
      <c r="Y35">
        <v>0</v>
      </c>
      <c r="Z35">
        <v>65.71</v>
      </c>
      <c r="AA35">
        <v>11.6</v>
      </c>
      <c r="AB35">
        <v>0</v>
      </c>
      <c r="AC35">
        <v>0</v>
      </c>
      <c r="AD35">
        <v>1</v>
      </c>
      <c r="AE35">
        <v>0</v>
      </c>
      <c r="AG35">
        <v>3.64</v>
      </c>
      <c r="AH35">
        <v>2</v>
      </c>
      <c r="AI35">
        <v>42254772</v>
      </c>
      <c r="AJ35">
        <v>36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ROW(Source!A112)</f>
        <v>112</v>
      </c>
      <c r="B36">
        <v>42254781</v>
      </c>
      <c r="C36">
        <v>42254768</v>
      </c>
      <c r="D36">
        <v>36804715</v>
      </c>
      <c r="E36">
        <v>1</v>
      </c>
      <c r="F36">
        <v>1</v>
      </c>
      <c r="G36">
        <v>1</v>
      </c>
      <c r="H36">
        <v>3</v>
      </c>
      <c r="I36" t="s">
        <v>519</v>
      </c>
      <c r="J36" t="s">
        <v>520</v>
      </c>
      <c r="K36" t="s">
        <v>521</v>
      </c>
      <c r="L36">
        <v>1346</v>
      </c>
      <c r="N36">
        <v>1009</v>
      </c>
      <c r="O36" t="s">
        <v>386</v>
      </c>
      <c r="P36" t="s">
        <v>386</v>
      </c>
      <c r="Q36">
        <v>1</v>
      </c>
      <c r="X36">
        <v>10.5</v>
      </c>
      <c r="Y36">
        <v>6.4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10.5</v>
      </c>
      <c r="AH36">
        <v>2</v>
      </c>
      <c r="AI36">
        <v>42254773</v>
      </c>
      <c r="AJ36">
        <v>37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ROW(Source!A112)</f>
        <v>112</v>
      </c>
      <c r="B37">
        <v>42254782</v>
      </c>
      <c r="C37">
        <v>42254768</v>
      </c>
      <c r="D37">
        <v>36870203</v>
      </c>
      <c r="E37">
        <v>1</v>
      </c>
      <c r="F37">
        <v>1</v>
      </c>
      <c r="G37">
        <v>1</v>
      </c>
      <c r="H37">
        <v>3</v>
      </c>
      <c r="I37" t="s">
        <v>522</v>
      </c>
      <c r="J37" t="s">
        <v>523</v>
      </c>
      <c r="K37" t="s">
        <v>524</v>
      </c>
      <c r="L37">
        <v>1354</v>
      </c>
      <c r="N37">
        <v>1010</v>
      </c>
      <c r="O37" t="s">
        <v>525</v>
      </c>
      <c r="P37" t="s">
        <v>525</v>
      </c>
      <c r="Q37">
        <v>1</v>
      </c>
      <c r="X37">
        <v>15</v>
      </c>
      <c r="Y37">
        <v>42.6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15</v>
      </c>
      <c r="AH37">
        <v>2</v>
      </c>
      <c r="AI37">
        <v>42254774</v>
      </c>
      <c r="AJ37">
        <v>38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ROW(Source!A112)</f>
        <v>112</v>
      </c>
      <c r="B38">
        <v>42254783</v>
      </c>
      <c r="C38">
        <v>42254768</v>
      </c>
      <c r="D38">
        <v>36799065</v>
      </c>
      <c r="E38">
        <v>17</v>
      </c>
      <c r="F38">
        <v>1</v>
      </c>
      <c r="G38">
        <v>1</v>
      </c>
      <c r="H38">
        <v>3</v>
      </c>
      <c r="I38" t="s">
        <v>516</v>
      </c>
      <c r="K38" t="s">
        <v>517</v>
      </c>
      <c r="L38">
        <v>1374</v>
      </c>
      <c r="N38">
        <v>1013</v>
      </c>
      <c r="O38" t="s">
        <v>518</v>
      </c>
      <c r="P38" t="s">
        <v>518</v>
      </c>
      <c r="Q38">
        <v>1</v>
      </c>
      <c r="X38">
        <v>5.79</v>
      </c>
      <c r="Y38">
        <v>1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G38">
        <v>5.79</v>
      </c>
      <c r="AH38">
        <v>2</v>
      </c>
      <c r="AI38">
        <v>42254775</v>
      </c>
      <c r="AJ38">
        <v>39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ROW(Source!A148)</f>
        <v>148</v>
      </c>
      <c r="B39">
        <v>42254947</v>
      </c>
      <c r="C39">
        <v>42254945</v>
      </c>
      <c r="D39">
        <v>37064998</v>
      </c>
      <c r="E39">
        <v>1</v>
      </c>
      <c r="F39">
        <v>1</v>
      </c>
      <c r="G39">
        <v>1</v>
      </c>
      <c r="H39">
        <v>1</v>
      </c>
      <c r="I39" t="s">
        <v>463</v>
      </c>
      <c r="K39" t="s">
        <v>464</v>
      </c>
      <c r="L39">
        <v>1191</v>
      </c>
      <c r="N39">
        <v>1013</v>
      </c>
      <c r="O39" t="s">
        <v>462</v>
      </c>
      <c r="P39" t="s">
        <v>462</v>
      </c>
      <c r="Q39">
        <v>1</v>
      </c>
      <c r="X39">
        <v>154</v>
      </c>
      <c r="Y39">
        <v>0</v>
      </c>
      <c r="Z39">
        <v>0</v>
      </c>
      <c r="AA39">
        <v>0</v>
      </c>
      <c r="AB39">
        <v>7.8</v>
      </c>
      <c r="AC39">
        <v>0</v>
      </c>
      <c r="AD39">
        <v>1</v>
      </c>
      <c r="AE39">
        <v>1</v>
      </c>
      <c r="AG39">
        <v>154</v>
      </c>
      <c r="AH39">
        <v>2</v>
      </c>
      <c r="AI39">
        <v>42254946</v>
      </c>
      <c r="AJ39">
        <v>41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ROW(Source!A149)</f>
        <v>149</v>
      </c>
      <c r="B40">
        <v>42254953</v>
      </c>
      <c r="C40">
        <v>42254948</v>
      </c>
      <c r="D40">
        <v>37065248</v>
      </c>
      <c r="E40">
        <v>1</v>
      </c>
      <c r="F40">
        <v>1</v>
      </c>
      <c r="G40">
        <v>1</v>
      </c>
      <c r="H40">
        <v>1</v>
      </c>
      <c r="I40" t="s">
        <v>460</v>
      </c>
      <c r="K40" t="s">
        <v>461</v>
      </c>
      <c r="L40">
        <v>1191</v>
      </c>
      <c r="N40">
        <v>1013</v>
      </c>
      <c r="O40" t="s">
        <v>462</v>
      </c>
      <c r="P40" t="s">
        <v>462</v>
      </c>
      <c r="Q40">
        <v>1</v>
      </c>
      <c r="X40">
        <v>12.53</v>
      </c>
      <c r="Y40">
        <v>0</v>
      </c>
      <c r="Z40">
        <v>0</v>
      </c>
      <c r="AA40">
        <v>0</v>
      </c>
      <c r="AB40">
        <v>8.53</v>
      </c>
      <c r="AC40">
        <v>0</v>
      </c>
      <c r="AD40">
        <v>1</v>
      </c>
      <c r="AE40">
        <v>1</v>
      </c>
      <c r="AG40">
        <v>12.53</v>
      </c>
      <c r="AH40">
        <v>2</v>
      </c>
      <c r="AI40">
        <v>42254949</v>
      </c>
      <c r="AJ40">
        <v>42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ROW(Source!A149)</f>
        <v>149</v>
      </c>
      <c r="B41">
        <v>42254954</v>
      </c>
      <c r="C41">
        <v>42254948</v>
      </c>
      <c r="D41">
        <v>37064876</v>
      </c>
      <c r="E41">
        <v>1</v>
      </c>
      <c r="F41">
        <v>1</v>
      </c>
      <c r="G41">
        <v>1</v>
      </c>
      <c r="H41">
        <v>1</v>
      </c>
      <c r="I41" t="s">
        <v>465</v>
      </c>
      <c r="K41" t="s">
        <v>466</v>
      </c>
      <c r="L41">
        <v>1191</v>
      </c>
      <c r="N41">
        <v>1013</v>
      </c>
      <c r="O41" t="s">
        <v>462</v>
      </c>
      <c r="P41" t="s">
        <v>462</v>
      </c>
      <c r="Q41">
        <v>1</v>
      </c>
      <c r="X41">
        <v>3.04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2</v>
      </c>
      <c r="AG41">
        <v>3.04</v>
      </c>
      <c r="AH41">
        <v>2</v>
      </c>
      <c r="AI41">
        <v>42254950</v>
      </c>
      <c r="AJ41">
        <v>43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ROW(Source!A149)</f>
        <v>149</v>
      </c>
      <c r="B42">
        <v>42254955</v>
      </c>
      <c r="C42">
        <v>42254948</v>
      </c>
      <c r="D42">
        <v>36882890</v>
      </c>
      <c r="E42">
        <v>1</v>
      </c>
      <c r="F42">
        <v>1</v>
      </c>
      <c r="G42">
        <v>1</v>
      </c>
      <c r="H42">
        <v>2</v>
      </c>
      <c r="I42" t="s">
        <v>487</v>
      </c>
      <c r="J42" t="s">
        <v>488</v>
      </c>
      <c r="K42" t="s">
        <v>489</v>
      </c>
      <c r="L42">
        <v>1368</v>
      </c>
      <c r="N42">
        <v>1011</v>
      </c>
      <c r="O42" t="s">
        <v>470</v>
      </c>
      <c r="P42" t="s">
        <v>470</v>
      </c>
      <c r="Q42">
        <v>1</v>
      </c>
      <c r="X42">
        <v>12.18</v>
      </c>
      <c r="Y42">
        <v>0</v>
      </c>
      <c r="Z42">
        <v>0.55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12.18</v>
      </c>
      <c r="AH42">
        <v>2</v>
      </c>
      <c r="AI42">
        <v>42254951</v>
      </c>
      <c r="AJ42">
        <v>44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ROW(Source!A149)</f>
        <v>149</v>
      </c>
      <c r="B43">
        <v>42254956</v>
      </c>
      <c r="C43">
        <v>42254948</v>
      </c>
      <c r="D43">
        <v>36883878</v>
      </c>
      <c r="E43">
        <v>1</v>
      </c>
      <c r="F43">
        <v>1</v>
      </c>
      <c r="G43">
        <v>1</v>
      </c>
      <c r="H43">
        <v>2</v>
      </c>
      <c r="I43" t="s">
        <v>490</v>
      </c>
      <c r="J43" t="s">
        <v>491</v>
      </c>
      <c r="K43" t="s">
        <v>492</v>
      </c>
      <c r="L43">
        <v>1368</v>
      </c>
      <c r="N43">
        <v>1011</v>
      </c>
      <c r="O43" t="s">
        <v>470</v>
      </c>
      <c r="P43" t="s">
        <v>470</v>
      </c>
      <c r="Q43">
        <v>1</v>
      </c>
      <c r="X43">
        <v>3.04</v>
      </c>
      <c r="Y43">
        <v>0</v>
      </c>
      <c r="Z43">
        <v>90</v>
      </c>
      <c r="AA43">
        <v>10.06</v>
      </c>
      <c r="AB43">
        <v>0</v>
      </c>
      <c r="AC43">
        <v>0</v>
      </c>
      <c r="AD43">
        <v>1</v>
      </c>
      <c r="AE43">
        <v>0</v>
      </c>
      <c r="AG43">
        <v>3.04</v>
      </c>
      <c r="AH43">
        <v>2</v>
      </c>
      <c r="AI43">
        <v>42254952</v>
      </c>
      <c r="AJ43">
        <v>45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ROW(Source!A150)</f>
        <v>150</v>
      </c>
      <c r="B44">
        <v>42254966</v>
      </c>
      <c r="C44">
        <v>42254957</v>
      </c>
      <c r="D44">
        <v>37066491</v>
      </c>
      <c r="E44">
        <v>1</v>
      </c>
      <c r="F44">
        <v>1</v>
      </c>
      <c r="G44">
        <v>1</v>
      </c>
      <c r="H44">
        <v>1</v>
      </c>
      <c r="I44" t="s">
        <v>526</v>
      </c>
      <c r="K44" t="s">
        <v>527</v>
      </c>
      <c r="L44">
        <v>1191</v>
      </c>
      <c r="N44">
        <v>1013</v>
      </c>
      <c r="O44" t="s">
        <v>462</v>
      </c>
      <c r="P44" t="s">
        <v>462</v>
      </c>
      <c r="Q44">
        <v>1</v>
      </c>
      <c r="X44">
        <v>15.72</v>
      </c>
      <c r="Y44">
        <v>0</v>
      </c>
      <c r="Z44">
        <v>0</v>
      </c>
      <c r="AA44">
        <v>0</v>
      </c>
      <c r="AB44">
        <v>8.02</v>
      </c>
      <c r="AC44">
        <v>0</v>
      </c>
      <c r="AD44">
        <v>1</v>
      </c>
      <c r="AE44">
        <v>1</v>
      </c>
      <c r="AG44">
        <v>15.72</v>
      </c>
      <c r="AH44">
        <v>2</v>
      </c>
      <c r="AI44">
        <v>42254958</v>
      </c>
      <c r="AJ44">
        <v>46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ROW(Source!A150)</f>
        <v>150</v>
      </c>
      <c r="B45">
        <v>42254967</v>
      </c>
      <c r="C45">
        <v>42254957</v>
      </c>
      <c r="D45">
        <v>37064876</v>
      </c>
      <c r="E45">
        <v>1</v>
      </c>
      <c r="F45">
        <v>1</v>
      </c>
      <c r="G45">
        <v>1</v>
      </c>
      <c r="H45">
        <v>1</v>
      </c>
      <c r="I45" t="s">
        <v>465</v>
      </c>
      <c r="K45" t="s">
        <v>466</v>
      </c>
      <c r="L45">
        <v>1191</v>
      </c>
      <c r="N45">
        <v>1013</v>
      </c>
      <c r="O45" t="s">
        <v>462</v>
      </c>
      <c r="P45" t="s">
        <v>462</v>
      </c>
      <c r="Q45">
        <v>1</v>
      </c>
      <c r="X45">
        <v>13.88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2</v>
      </c>
      <c r="AG45">
        <v>13.88</v>
      </c>
      <c r="AH45">
        <v>2</v>
      </c>
      <c r="AI45">
        <v>42254959</v>
      </c>
      <c r="AJ45">
        <v>47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ROW(Source!A150)</f>
        <v>150</v>
      </c>
      <c r="B46">
        <v>42254968</v>
      </c>
      <c r="C46">
        <v>42254957</v>
      </c>
      <c r="D46">
        <v>36881380</v>
      </c>
      <c r="E46">
        <v>1</v>
      </c>
      <c r="F46">
        <v>1</v>
      </c>
      <c r="G46">
        <v>1</v>
      </c>
      <c r="H46">
        <v>2</v>
      </c>
      <c r="I46" t="s">
        <v>528</v>
      </c>
      <c r="J46" t="s">
        <v>529</v>
      </c>
      <c r="K46" t="s">
        <v>530</v>
      </c>
      <c r="L46">
        <v>1368</v>
      </c>
      <c r="N46">
        <v>1011</v>
      </c>
      <c r="O46" t="s">
        <v>470</v>
      </c>
      <c r="P46" t="s">
        <v>470</v>
      </c>
      <c r="Q46">
        <v>1</v>
      </c>
      <c r="X46">
        <v>1.77</v>
      </c>
      <c r="Y46">
        <v>0</v>
      </c>
      <c r="Z46">
        <v>123</v>
      </c>
      <c r="AA46">
        <v>13.5</v>
      </c>
      <c r="AB46">
        <v>0</v>
      </c>
      <c r="AC46">
        <v>0</v>
      </c>
      <c r="AD46">
        <v>1</v>
      </c>
      <c r="AE46">
        <v>0</v>
      </c>
      <c r="AG46">
        <v>1.77</v>
      </c>
      <c r="AH46">
        <v>2</v>
      </c>
      <c r="AI46">
        <v>42254960</v>
      </c>
      <c r="AJ46">
        <v>48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ROW(Source!A150)</f>
        <v>150</v>
      </c>
      <c r="B47">
        <v>42254969</v>
      </c>
      <c r="C47">
        <v>42254957</v>
      </c>
      <c r="D47">
        <v>36882383</v>
      </c>
      <c r="E47">
        <v>1</v>
      </c>
      <c r="F47">
        <v>1</v>
      </c>
      <c r="G47">
        <v>1</v>
      </c>
      <c r="H47">
        <v>2</v>
      </c>
      <c r="I47" t="s">
        <v>531</v>
      </c>
      <c r="J47" t="s">
        <v>532</v>
      </c>
      <c r="K47" t="s">
        <v>533</v>
      </c>
      <c r="L47">
        <v>1368</v>
      </c>
      <c r="N47">
        <v>1011</v>
      </c>
      <c r="O47" t="s">
        <v>470</v>
      </c>
      <c r="P47" t="s">
        <v>470</v>
      </c>
      <c r="Q47">
        <v>1</v>
      </c>
      <c r="X47">
        <v>4.29</v>
      </c>
      <c r="Y47">
        <v>0</v>
      </c>
      <c r="Z47">
        <v>89.99</v>
      </c>
      <c r="AA47">
        <v>10.06</v>
      </c>
      <c r="AB47">
        <v>0</v>
      </c>
      <c r="AC47">
        <v>0</v>
      </c>
      <c r="AD47">
        <v>1</v>
      </c>
      <c r="AE47">
        <v>0</v>
      </c>
      <c r="AG47">
        <v>4.29</v>
      </c>
      <c r="AH47">
        <v>2</v>
      </c>
      <c r="AI47">
        <v>42254961</v>
      </c>
      <c r="AJ47">
        <v>49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ROW(Source!A150)</f>
        <v>150</v>
      </c>
      <c r="B48">
        <v>42254970</v>
      </c>
      <c r="C48">
        <v>42254957</v>
      </c>
      <c r="D48">
        <v>36882750</v>
      </c>
      <c r="E48">
        <v>1</v>
      </c>
      <c r="F48">
        <v>1</v>
      </c>
      <c r="G48">
        <v>1</v>
      </c>
      <c r="H48">
        <v>2</v>
      </c>
      <c r="I48" t="s">
        <v>534</v>
      </c>
      <c r="J48" t="s">
        <v>535</v>
      </c>
      <c r="K48" t="s">
        <v>536</v>
      </c>
      <c r="L48">
        <v>1368</v>
      </c>
      <c r="N48">
        <v>1011</v>
      </c>
      <c r="O48" t="s">
        <v>470</v>
      </c>
      <c r="P48" t="s">
        <v>470</v>
      </c>
      <c r="Q48">
        <v>1</v>
      </c>
      <c r="X48">
        <v>7.08</v>
      </c>
      <c r="Y48">
        <v>0</v>
      </c>
      <c r="Z48">
        <v>206.01</v>
      </c>
      <c r="AA48">
        <v>14.4</v>
      </c>
      <c r="AB48">
        <v>0</v>
      </c>
      <c r="AC48">
        <v>0</v>
      </c>
      <c r="AD48">
        <v>1</v>
      </c>
      <c r="AE48">
        <v>0</v>
      </c>
      <c r="AG48">
        <v>7.08</v>
      </c>
      <c r="AH48">
        <v>2</v>
      </c>
      <c r="AI48">
        <v>42254962</v>
      </c>
      <c r="AJ48">
        <v>50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ROW(Source!A150)</f>
        <v>150</v>
      </c>
      <c r="B49">
        <v>42254971</v>
      </c>
      <c r="C49">
        <v>42254957</v>
      </c>
      <c r="D49">
        <v>36883483</v>
      </c>
      <c r="E49">
        <v>1</v>
      </c>
      <c r="F49">
        <v>1</v>
      </c>
      <c r="G49">
        <v>1</v>
      </c>
      <c r="H49">
        <v>2</v>
      </c>
      <c r="I49" t="s">
        <v>537</v>
      </c>
      <c r="J49" t="s">
        <v>538</v>
      </c>
      <c r="K49" t="s">
        <v>539</v>
      </c>
      <c r="L49">
        <v>1368</v>
      </c>
      <c r="N49">
        <v>1011</v>
      </c>
      <c r="O49" t="s">
        <v>470</v>
      </c>
      <c r="P49" t="s">
        <v>470</v>
      </c>
      <c r="Q49">
        <v>1</v>
      </c>
      <c r="X49">
        <v>0.74</v>
      </c>
      <c r="Y49">
        <v>0</v>
      </c>
      <c r="Z49">
        <v>110</v>
      </c>
      <c r="AA49">
        <v>11.6</v>
      </c>
      <c r="AB49">
        <v>0</v>
      </c>
      <c r="AC49">
        <v>0</v>
      </c>
      <c r="AD49">
        <v>1</v>
      </c>
      <c r="AE49">
        <v>0</v>
      </c>
      <c r="AG49">
        <v>0.74</v>
      </c>
      <c r="AH49">
        <v>2</v>
      </c>
      <c r="AI49">
        <v>42254963</v>
      </c>
      <c r="AJ49">
        <v>51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ROW(Source!A150)</f>
        <v>150</v>
      </c>
      <c r="B50">
        <v>42254972</v>
      </c>
      <c r="C50">
        <v>42254957</v>
      </c>
      <c r="D50">
        <v>36801792</v>
      </c>
      <c r="E50">
        <v>1</v>
      </c>
      <c r="F50">
        <v>1</v>
      </c>
      <c r="G50">
        <v>1</v>
      </c>
      <c r="H50">
        <v>3</v>
      </c>
      <c r="I50" t="s">
        <v>540</v>
      </c>
      <c r="J50" t="s">
        <v>541</v>
      </c>
      <c r="K50" t="s">
        <v>542</v>
      </c>
      <c r="L50">
        <v>1339</v>
      </c>
      <c r="N50">
        <v>1007</v>
      </c>
      <c r="O50" t="s">
        <v>140</v>
      </c>
      <c r="P50" t="s">
        <v>140</v>
      </c>
      <c r="Q50">
        <v>1</v>
      </c>
      <c r="X50">
        <v>5</v>
      </c>
      <c r="Y50">
        <v>2.44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5</v>
      </c>
      <c r="AH50">
        <v>2</v>
      </c>
      <c r="AI50">
        <v>42254964</v>
      </c>
      <c r="AJ50">
        <v>52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ROW(Source!A150)</f>
        <v>150</v>
      </c>
      <c r="B51">
        <v>42254973</v>
      </c>
      <c r="C51">
        <v>42254957</v>
      </c>
      <c r="D51">
        <v>36796087</v>
      </c>
      <c r="E51">
        <v>17</v>
      </c>
      <c r="F51">
        <v>1</v>
      </c>
      <c r="G51">
        <v>1</v>
      </c>
      <c r="H51">
        <v>3</v>
      </c>
      <c r="I51" t="s">
        <v>708</v>
      </c>
      <c r="K51" t="s">
        <v>709</v>
      </c>
      <c r="L51">
        <v>1339</v>
      </c>
      <c r="N51">
        <v>1007</v>
      </c>
      <c r="O51" t="s">
        <v>140</v>
      </c>
      <c r="P51" t="s">
        <v>140</v>
      </c>
      <c r="Q51">
        <v>1</v>
      </c>
      <c r="X51">
        <v>0</v>
      </c>
      <c r="Y51">
        <v>0</v>
      </c>
      <c r="Z51">
        <v>0</v>
      </c>
      <c r="AA51">
        <v>0</v>
      </c>
      <c r="AB51">
        <v>0</v>
      </c>
      <c r="AC51">
        <v>1</v>
      </c>
      <c r="AD51">
        <v>0</v>
      </c>
      <c r="AE51">
        <v>0</v>
      </c>
      <c r="AG51">
        <v>0</v>
      </c>
      <c r="AH51">
        <v>3</v>
      </c>
      <c r="AI51">
        <v>-1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ROW(Source!A152)</f>
        <v>152</v>
      </c>
      <c r="B52">
        <v>42254984</v>
      </c>
      <c r="C52">
        <v>42254975</v>
      </c>
      <c r="D52">
        <v>37064998</v>
      </c>
      <c r="E52">
        <v>1</v>
      </c>
      <c r="F52">
        <v>1</v>
      </c>
      <c r="G52">
        <v>1</v>
      </c>
      <c r="H52">
        <v>1</v>
      </c>
      <c r="I52" t="s">
        <v>463</v>
      </c>
      <c r="K52" t="s">
        <v>464</v>
      </c>
      <c r="L52">
        <v>1191</v>
      </c>
      <c r="N52">
        <v>1013</v>
      </c>
      <c r="O52" t="s">
        <v>462</v>
      </c>
      <c r="P52" t="s">
        <v>462</v>
      </c>
      <c r="Q52">
        <v>1</v>
      </c>
      <c r="X52">
        <v>180</v>
      </c>
      <c r="Y52">
        <v>0</v>
      </c>
      <c r="Z52">
        <v>0</v>
      </c>
      <c r="AA52">
        <v>0</v>
      </c>
      <c r="AB52">
        <v>7.8</v>
      </c>
      <c r="AC52">
        <v>0</v>
      </c>
      <c r="AD52">
        <v>1</v>
      </c>
      <c r="AE52">
        <v>1</v>
      </c>
      <c r="AG52">
        <v>180</v>
      </c>
      <c r="AH52">
        <v>2</v>
      </c>
      <c r="AI52">
        <v>42254977</v>
      </c>
      <c r="AJ52">
        <v>54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ROW(Source!A152)</f>
        <v>152</v>
      </c>
      <c r="B53">
        <v>42254985</v>
      </c>
      <c r="C53">
        <v>42254975</v>
      </c>
      <c r="D53">
        <v>37064876</v>
      </c>
      <c r="E53">
        <v>1</v>
      </c>
      <c r="F53">
        <v>1</v>
      </c>
      <c r="G53">
        <v>1</v>
      </c>
      <c r="H53">
        <v>1</v>
      </c>
      <c r="I53" t="s">
        <v>465</v>
      </c>
      <c r="K53" t="s">
        <v>466</v>
      </c>
      <c r="L53">
        <v>1191</v>
      </c>
      <c r="N53">
        <v>1013</v>
      </c>
      <c r="O53" t="s">
        <v>462</v>
      </c>
      <c r="P53" t="s">
        <v>462</v>
      </c>
      <c r="Q53">
        <v>1</v>
      </c>
      <c r="X53">
        <v>18.13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2</v>
      </c>
      <c r="AG53">
        <v>18.13</v>
      </c>
      <c r="AH53">
        <v>2</v>
      </c>
      <c r="AI53">
        <v>42254978</v>
      </c>
      <c r="AJ53">
        <v>55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ROW(Source!A152)</f>
        <v>152</v>
      </c>
      <c r="B54">
        <v>42254986</v>
      </c>
      <c r="C54">
        <v>42254975</v>
      </c>
      <c r="D54">
        <v>36882057</v>
      </c>
      <c r="E54">
        <v>1</v>
      </c>
      <c r="F54">
        <v>1</v>
      </c>
      <c r="G54">
        <v>1</v>
      </c>
      <c r="H54">
        <v>2</v>
      </c>
      <c r="I54" t="s">
        <v>543</v>
      </c>
      <c r="J54" t="s">
        <v>544</v>
      </c>
      <c r="K54" t="s">
        <v>545</v>
      </c>
      <c r="L54">
        <v>1368</v>
      </c>
      <c r="N54">
        <v>1011</v>
      </c>
      <c r="O54" t="s">
        <v>470</v>
      </c>
      <c r="P54" t="s">
        <v>470</v>
      </c>
      <c r="Q54">
        <v>1</v>
      </c>
      <c r="X54">
        <v>18</v>
      </c>
      <c r="Y54">
        <v>0</v>
      </c>
      <c r="Z54">
        <v>86.4</v>
      </c>
      <c r="AA54">
        <v>13.5</v>
      </c>
      <c r="AB54">
        <v>0</v>
      </c>
      <c r="AC54">
        <v>0</v>
      </c>
      <c r="AD54">
        <v>1</v>
      </c>
      <c r="AE54">
        <v>0</v>
      </c>
      <c r="AG54">
        <v>18</v>
      </c>
      <c r="AH54">
        <v>2</v>
      </c>
      <c r="AI54">
        <v>42254979</v>
      </c>
      <c r="AJ54">
        <v>56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ROW(Source!A152)</f>
        <v>152</v>
      </c>
      <c r="B55">
        <v>42254987</v>
      </c>
      <c r="C55">
        <v>42254975</v>
      </c>
      <c r="D55">
        <v>36882569</v>
      </c>
      <c r="E55">
        <v>1</v>
      </c>
      <c r="F55">
        <v>1</v>
      </c>
      <c r="G55">
        <v>1</v>
      </c>
      <c r="H55">
        <v>2</v>
      </c>
      <c r="I55" t="s">
        <v>546</v>
      </c>
      <c r="J55" t="s">
        <v>547</v>
      </c>
      <c r="K55" t="s">
        <v>548</v>
      </c>
      <c r="L55">
        <v>1368</v>
      </c>
      <c r="N55">
        <v>1011</v>
      </c>
      <c r="O55" t="s">
        <v>470</v>
      </c>
      <c r="P55" t="s">
        <v>470</v>
      </c>
      <c r="Q55">
        <v>1</v>
      </c>
      <c r="X55">
        <v>48</v>
      </c>
      <c r="Y55">
        <v>0</v>
      </c>
      <c r="Z55">
        <v>0.5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48</v>
      </c>
      <c r="AH55">
        <v>2</v>
      </c>
      <c r="AI55">
        <v>42254980</v>
      </c>
      <c r="AJ55">
        <v>57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ROW(Source!A152)</f>
        <v>152</v>
      </c>
      <c r="B56">
        <v>42254988</v>
      </c>
      <c r="C56">
        <v>42254975</v>
      </c>
      <c r="D56">
        <v>36883554</v>
      </c>
      <c r="E56">
        <v>1</v>
      </c>
      <c r="F56">
        <v>1</v>
      </c>
      <c r="G56">
        <v>1</v>
      </c>
      <c r="H56">
        <v>2</v>
      </c>
      <c r="I56" t="s">
        <v>498</v>
      </c>
      <c r="J56" t="s">
        <v>499</v>
      </c>
      <c r="K56" t="s">
        <v>500</v>
      </c>
      <c r="L56">
        <v>1368</v>
      </c>
      <c r="N56">
        <v>1011</v>
      </c>
      <c r="O56" t="s">
        <v>470</v>
      </c>
      <c r="P56" t="s">
        <v>470</v>
      </c>
      <c r="Q56">
        <v>1</v>
      </c>
      <c r="X56">
        <v>0.13</v>
      </c>
      <c r="Y56">
        <v>0</v>
      </c>
      <c r="Z56">
        <v>65.71</v>
      </c>
      <c r="AA56">
        <v>11.6</v>
      </c>
      <c r="AB56">
        <v>0</v>
      </c>
      <c r="AC56">
        <v>0</v>
      </c>
      <c r="AD56">
        <v>1</v>
      </c>
      <c r="AE56">
        <v>0</v>
      </c>
      <c r="AG56">
        <v>0.13</v>
      </c>
      <c r="AH56">
        <v>2</v>
      </c>
      <c r="AI56">
        <v>42254981</v>
      </c>
      <c r="AJ56">
        <v>58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ROW(Source!A152)</f>
        <v>152</v>
      </c>
      <c r="B57">
        <v>42254989</v>
      </c>
      <c r="C57">
        <v>42254975</v>
      </c>
      <c r="D57">
        <v>36801792</v>
      </c>
      <c r="E57">
        <v>1</v>
      </c>
      <c r="F57">
        <v>1</v>
      </c>
      <c r="G57">
        <v>1</v>
      </c>
      <c r="H57">
        <v>3</v>
      </c>
      <c r="I57" t="s">
        <v>540</v>
      </c>
      <c r="J57" t="s">
        <v>541</v>
      </c>
      <c r="K57" t="s">
        <v>542</v>
      </c>
      <c r="L57">
        <v>1339</v>
      </c>
      <c r="N57">
        <v>1007</v>
      </c>
      <c r="O57" t="s">
        <v>140</v>
      </c>
      <c r="P57" t="s">
        <v>140</v>
      </c>
      <c r="Q57">
        <v>1</v>
      </c>
      <c r="X57">
        <v>0.2</v>
      </c>
      <c r="Y57">
        <v>2.44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0.2</v>
      </c>
      <c r="AH57">
        <v>2</v>
      </c>
      <c r="AI57">
        <v>42254982</v>
      </c>
      <c r="AJ57">
        <v>59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ROW(Source!A152)</f>
        <v>152</v>
      </c>
      <c r="B58">
        <v>42254990</v>
      </c>
      <c r="C58">
        <v>42254975</v>
      </c>
      <c r="D58">
        <v>36802304</v>
      </c>
      <c r="E58">
        <v>1</v>
      </c>
      <c r="F58">
        <v>1</v>
      </c>
      <c r="G58">
        <v>1</v>
      </c>
      <c r="H58">
        <v>3</v>
      </c>
      <c r="I58" t="s">
        <v>549</v>
      </c>
      <c r="J58" t="s">
        <v>550</v>
      </c>
      <c r="K58" t="s">
        <v>551</v>
      </c>
      <c r="L58">
        <v>1327</v>
      </c>
      <c r="N58">
        <v>1005</v>
      </c>
      <c r="O58" t="s">
        <v>552</v>
      </c>
      <c r="P58" t="s">
        <v>552</v>
      </c>
      <c r="Q58">
        <v>1</v>
      </c>
      <c r="X58">
        <v>250</v>
      </c>
      <c r="Y58">
        <v>3.62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250</v>
      </c>
      <c r="AH58">
        <v>2</v>
      </c>
      <c r="AI58">
        <v>42254983</v>
      </c>
      <c r="AJ58">
        <v>60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ROW(Source!A152)</f>
        <v>152</v>
      </c>
      <c r="B59">
        <v>42254991</v>
      </c>
      <c r="C59">
        <v>42254975</v>
      </c>
      <c r="D59">
        <v>36796108</v>
      </c>
      <c r="E59">
        <v>17</v>
      </c>
      <c r="F59">
        <v>1</v>
      </c>
      <c r="G59">
        <v>1</v>
      </c>
      <c r="H59">
        <v>3</v>
      </c>
      <c r="I59" t="s">
        <v>710</v>
      </c>
      <c r="K59" t="s">
        <v>711</v>
      </c>
      <c r="L59">
        <v>1339</v>
      </c>
      <c r="N59">
        <v>1007</v>
      </c>
      <c r="O59" t="s">
        <v>140</v>
      </c>
      <c r="P59" t="s">
        <v>140</v>
      </c>
      <c r="Q59">
        <v>1</v>
      </c>
      <c r="X59">
        <v>102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G59">
        <v>102</v>
      </c>
      <c r="AH59">
        <v>3</v>
      </c>
      <c r="AI59">
        <v>-1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ROW(Source!A154)</f>
        <v>154</v>
      </c>
      <c r="B60">
        <v>42255003</v>
      </c>
      <c r="C60">
        <v>42254993</v>
      </c>
      <c r="D60">
        <v>37070495</v>
      </c>
      <c r="E60">
        <v>1</v>
      </c>
      <c r="F60">
        <v>1</v>
      </c>
      <c r="G60">
        <v>1</v>
      </c>
      <c r="H60">
        <v>1</v>
      </c>
      <c r="I60" t="s">
        <v>553</v>
      </c>
      <c r="K60" t="s">
        <v>554</v>
      </c>
      <c r="L60">
        <v>1191</v>
      </c>
      <c r="N60">
        <v>1013</v>
      </c>
      <c r="O60" t="s">
        <v>462</v>
      </c>
      <c r="P60" t="s">
        <v>462</v>
      </c>
      <c r="Q60">
        <v>1</v>
      </c>
      <c r="X60">
        <v>52.84</v>
      </c>
      <c r="Y60">
        <v>0</v>
      </c>
      <c r="Z60">
        <v>0</v>
      </c>
      <c r="AA60">
        <v>0</v>
      </c>
      <c r="AB60">
        <v>8.74</v>
      </c>
      <c r="AC60">
        <v>0</v>
      </c>
      <c r="AD60">
        <v>1</v>
      </c>
      <c r="AE60">
        <v>1</v>
      </c>
      <c r="AG60">
        <v>52.84</v>
      </c>
      <c r="AH60">
        <v>2</v>
      </c>
      <c r="AI60">
        <v>42254994</v>
      </c>
      <c r="AJ60">
        <v>62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ROW(Source!A154)</f>
        <v>154</v>
      </c>
      <c r="B61">
        <v>42255004</v>
      </c>
      <c r="C61">
        <v>42254993</v>
      </c>
      <c r="D61">
        <v>37064876</v>
      </c>
      <c r="E61">
        <v>1</v>
      </c>
      <c r="F61">
        <v>1</v>
      </c>
      <c r="G61">
        <v>1</v>
      </c>
      <c r="H61">
        <v>1</v>
      </c>
      <c r="I61" t="s">
        <v>465</v>
      </c>
      <c r="K61" t="s">
        <v>466</v>
      </c>
      <c r="L61">
        <v>1191</v>
      </c>
      <c r="N61">
        <v>1013</v>
      </c>
      <c r="O61" t="s">
        <v>462</v>
      </c>
      <c r="P61" t="s">
        <v>462</v>
      </c>
      <c r="Q61">
        <v>1</v>
      </c>
      <c r="X61">
        <v>21.48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2</v>
      </c>
      <c r="AG61">
        <v>21.48</v>
      </c>
      <c r="AH61">
        <v>2</v>
      </c>
      <c r="AI61">
        <v>42254995</v>
      </c>
      <c r="AJ61">
        <v>63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ROW(Source!A154)</f>
        <v>154</v>
      </c>
      <c r="B62">
        <v>42255005</v>
      </c>
      <c r="C62">
        <v>42254993</v>
      </c>
      <c r="D62">
        <v>36882159</v>
      </c>
      <c r="E62">
        <v>1</v>
      </c>
      <c r="F62">
        <v>1</v>
      </c>
      <c r="G62">
        <v>1</v>
      </c>
      <c r="H62">
        <v>2</v>
      </c>
      <c r="I62" t="s">
        <v>495</v>
      </c>
      <c r="J62" t="s">
        <v>496</v>
      </c>
      <c r="K62" t="s">
        <v>497</v>
      </c>
      <c r="L62">
        <v>1368</v>
      </c>
      <c r="N62">
        <v>1011</v>
      </c>
      <c r="O62" t="s">
        <v>470</v>
      </c>
      <c r="P62" t="s">
        <v>470</v>
      </c>
      <c r="Q62">
        <v>1</v>
      </c>
      <c r="X62">
        <v>2.63</v>
      </c>
      <c r="Y62">
        <v>0</v>
      </c>
      <c r="Z62">
        <v>111.99</v>
      </c>
      <c r="AA62">
        <v>13.5</v>
      </c>
      <c r="AB62">
        <v>0</v>
      </c>
      <c r="AC62">
        <v>0</v>
      </c>
      <c r="AD62">
        <v>1</v>
      </c>
      <c r="AE62">
        <v>0</v>
      </c>
      <c r="AG62">
        <v>2.63</v>
      </c>
      <c r="AH62">
        <v>2</v>
      </c>
      <c r="AI62">
        <v>42254996</v>
      </c>
      <c r="AJ62">
        <v>64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ROW(Source!A154)</f>
        <v>154</v>
      </c>
      <c r="B63">
        <v>42255006</v>
      </c>
      <c r="C63">
        <v>42254993</v>
      </c>
      <c r="D63">
        <v>36882180</v>
      </c>
      <c r="E63">
        <v>1</v>
      </c>
      <c r="F63">
        <v>1</v>
      </c>
      <c r="G63">
        <v>1</v>
      </c>
      <c r="H63">
        <v>2</v>
      </c>
      <c r="I63" t="s">
        <v>555</v>
      </c>
      <c r="J63" t="s">
        <v>556</v>
      </c>
      <c r="K63" t="s">
        <v>557</v>
      </c>
      <c r="L63">
        <v>1368</v>
      </c>
      <c r="N63">
        <v>1011</v>
      </c>
      <c r="O63" t="s">
        <v>470</v>
      </c>
      <c r="P63" t="s">
        <v>470</v>
      </c>
      <c r="Q63">
        <v>1</v>
      </c>
      <c r="X63">
        <v>14.9</v>
      </c>
      <c r="Y63">
        <v>0</v>
      </c>
      <c r="Z63">
        <v>96.89</v>
      </c>
      <c r="AA63">
        <v>13.5</v>
      </c>
      <c r="AB63">
        <v>0</v>
      </c>
      <c r="AC63">
        <v>0</v>
      </c>
      <c r="AD63">
        <v>1</v>
      </c>
      <c r="AE63">
        <v>0</v>
      </c>
      <c r="AG63">
        <v>14.9</v>
      </c>
      <c r="AH63">
        <v>2</v>
      </c>
      <c r="AI63">
        <v>42254997</v>
      </c>
      <c r="AJ63">
        <v>65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ROW(Source!A154)</f>
        <v>154</v>
      </c>
      <c r="B64">
        <v>42255007</v>
      </c>
      <c r="C64">
        <v>42254993</v>
      </c>
      <c r="D64">
        <v>36883554</v>
      </c>
      <c r="E64">
        <v>1</v>
      </c>
      <c r="F64">
        <v>1</v>
      </c>
      <c r="G64">
        <v>1</v>
      </c>
      <c r="H64">
        <v>2</v>
      </c>
      <c r="I64" t="s">
        <v>498</v>
      </c>
      <c r="J64" t="s">
        <v>499</v>
      </c>
      <c r="K64" t="s">
        <v>500</v>
      </c>
      <c r="L64">
        <v>1368</v>
      </c>
      <c r="N64">
        <v>1011</v>
      </c>
      <c r="O64" t="s">
        <v>470</v>
      </c>
      <c r="P64" t="s">
        <v>470</v>
      </c>
      <c r="Q64">
        <v>1</v>
      </c>
      <c r="X64">
        <v>3.95</v>
      </c>
      <c r="Y64">
        <v>0</v>
      </c>
      <c r="Z64">
        <v>65.71</v>
      </c>
      <c r="AA64">
        <v>11.6</v>
      </c>
      <c r="AB64">
        <v>0</v>
      </c>
      <c r="AC64">
        <v>0</v>
      </c>
      <c r="AD64">
        <v>1</v>
      </c>
      <c r="AE64">
        <v>0</v>
      </c>
      <c r="AG64">
        <v>3.95</v>
      </c>
      <c r="AH64">
        <v>2</v>
      </c>
      <c r="AI64">
        <v>42254998</v>
      </c>
      <c r="AJ64">
        <v>66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ROW(Source!A154)</f>
        <v>154</v>
      </c>
      <c r="B65">
        <v>42255008</v>
      </c>
      <c r="C65">
        <v>42254993</v>
      </c>
      <c r="D65">
        <v>36796108</v>
      </c>
      <c r="E65">
        <v>17</v>
      </c>
      <c r="F65">
        <v>1</v>
      </c>
      <c r="G65">
        <v>1</v>
      </c>
      <c r="H65">
        <v>3</v>
      </c>
      <c r="I65" t="s">
        <v>710</v>
      </c>
      <c r="K65" t="s">
        <v>711</v>
      </c>
      <c r="L65">
        <v>1339</v>
      </c>
      <c r="N65">
        <v>1007</v>
      </c>
      <c r="O65" t="s">
        <v>140</v>
      </c>
      <c r="P65" t="s">
        <v>140</v>
      </c>
      <c r="Q65">
        <v>1</v>
      </c>
      <c r="X65">
        <v>0.41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G65">
        <v>0.41</v>
      </c>
      <c r="AH65">
        <v>3</v>
      </c>
      <c r="AI65">
        <v>-1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ROW(Source!A154)</f>
        <v>154</v>
      </c>
      <c r="B66">
        <v>42255009</v>
      </c>
      <c r="C66">
        <v>42254993</v>
      </c>
      <c r="D66">
        <v>36807342</v>
      </c>
      <c r="E66">
        <v>1</v>
      </c>
      <c r="F66">
        <v>1</v>
      </c>
      <c r="G66">
        <v>1</v>
      </c>
      <c r="H66">
        <v>3</v>
      </c>
      <c r="I66" t="s">
        <v>558</v>
      </c>
      <c r="J66" t="s">
        <v>559</v>
      </c>
      <c r="K66" t="s">
        <v>560</v>
      </c>
      <c r="L66">
        <v>1339</v>
      </c>
      <c r="N66">
        <v>1007</v>
      </c>
      <c r="O66" t="s">
        <v>140</v>
      </c>
      <c r="P66" t="s">
        <v>140</v>
      </c>
      <c r="Q66">
        <v>1</v>
      </c>
      <c r="X66">
        <v>1.2</v>
      </c>
      <c r="Y66">
        <v>519.8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1.2</v>
      </c>
      <c r="AH66">
        <v>2</v>
      </c>
      <c r="AI66">
        <v>42254999</v>
      </c>
      <c r="AJ66">
        <v>68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ROW(Source!A154)</f>
        <v>154</v>
      </c>
      <c r="B67">
        <v>42255010</v>
      </c>
      <c r="C67">
        <v>42254993</v>
      </c>
      <c r="D67">
        <v>36796155</v>
      </c>
      <c r="E67">
        <v>17</v>
      </c>
      <c r="F67">
        <v>1</v>
      </c>
      <c r="G67">
        <v>1</v>
      </c>
      <c r="H67">
        <v>3</v>
      </c>
      <c r="I67" t="s">
        <v>712</v>
      </c>
      <c r="K67" t="s">
        <v>713</v>
      </c>
      <c r="L67">
        <v>1354</v>
      </c>
      <c r="N67">
        <v>1010</v>
      </c>
      <c r="O67" t="s">
        <v>525</v>
      </c>
      <c r="P67" t="s">
        <v>525</v>
      </c>
      <c r="Q67">
        <v>1</v>
      </c>
      <c r="X67">
        <v>100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G67">
        <v>100</v>
      </c>
      <c r="AH67">
        <v>3</v>
      </c>
      <c r="AI67">
        <v>-1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ROW(Source!A158)</f>
        <v>158</v>
      </c>
      <c r="B68">
        <v>42255023</v>
      </c>
      <c r="C68">
        <v>42255014</v>
      </c>
      <c r="D68">
        <v>37070495</v>
      </c>
      <c r="E68">
        <v>1</v>
      </c>
      <c r="F68">
        <v>1</v>
      </c>
      <c r="G68">
        <v>1</v>
      </c>
      <c r="H68">
        <v>1</v>
      </c>
      <c r="I68" t="s">
        <v>553</v>
      </c>
      <c r="K68" t="s">
        <v>554</v>
      </c>
      <c r="L68">
        <v>1191</v>
      </c>
      <c r="N68">
        <v>1013</v>
      </c>
      <c r="O68" t="s">
        <v>462</v>
      </c>
      <c r="P68" t="s">
        <v>462</v>
      </c>
      <c r="Q68">
        <v>1</v>
      </c>
      <c r="X68">
        <v>74.15</v>
      </c>
      <c r="Y68">
        <v>0</v>
      </c>
      <c r="Z68">
        <v>0</v>
      </c>
      <c r="AA68">
        <v>0</v>
      </c>
      <c r="AB68">
        <v>8.74</v>
      </c>
      <c r="AC68">
        <v>0</v>
      </c>
      <c r="AD68">
        <v>1</v>
      </c>
      <c r="AE68">
        <v>1</v>
      </c>
      <c r="AG68">
        <v>74.15</v>
      </c>
      <c r="AH68">
        <v>2</v>
      </c>
      <c r="AI68">
        <v>42255015</v>
      </c>
      <c r="AJ68">
        <v>71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ROW(Source!A158)</f>
        <v>158</v>
      </c>
      <c r="B69">
        <v>42255024</v>
      </c>
      <c r="C69">
        <v>42255014</v>
      </c>
      <c r="D69">
        <v>37064876</v>
      </c>
      <c r="E69">
        <v>1</v>
      </c>
      <c r="F69">
        <v>1</v>
      </c>
      <c r="G69">
        <v>1</v>
      </c>
      <c r="H69">
        <v>1</v>
      </c>
      <c r="I69" t="s">
        <v>465</v>
      </c>
      <c r="K69" t="s">
        <v>466</v>
      </c>
      <c r="L69">
        <v>1191</v>
      </c>
      <c r="N69">
        <v>1013</v>
      </c>
      <c r="O69" t="s">
        <v>462</v>
      </c>
      <c r="P69" t="s">
        <v>462</v>
      </c>
      <c r="Q69">
        <v>1</v>
      </c>
      <c r="X69">
        <v>30.19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2</v>
      </c>
      <c r="AG69">
        <v>30.19</v>
      </c>
      <c r="AH69">
        <v>2</v>
      </c>
      <c r="AI69">
        <v>42255016</v>
      </c>
      <c r="AJ69">
        <v>72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ROW(Source!A158)</f>
        <v>158</v>
      </c>
      <c r="B70">
        <v>42255025</v>
      </c>
      <c r="C70">
        <v>42255014</v>
      </c>
      <c r="D70">
        <v>36882159</v>
      </c>
      <c r="E70">
        <v>1</v>
      </c>
      <c r="F70">
        <v>1</v>
      </c>
      <c r="G70">
        <v>1</v>
      </c>
      <c r="H70">
        <v>2</v>
      </c>
      <c r="I70" t="s">
        <v>495</v>
      </c>
      <c r="J70" t="s">
        <v>496</v>
      </c>
      <c r="K70" t="s">
        <v>497</v>
      </c>
      <c r="L70">
        <v>1368</v>
      </c>
      <c r="N70">
        <v>1011</v>
      </c>
      <c r="O70" t="s">
        <v>470</v>
      </c>
      <c r="P70" t="s">
        <v>470</v>
      </c>
      <c r="Q70">
        <v>1</v>
      </c>
      <c r="X70">
        <v>3.92</v>
      </c>
      <c r="Y70">
        <v>0</v>
      </c>
      <c r="Z70">
        <v>111.99</v>
      </c>
      <c r="AA70">
        <v>13.5</v>
      </c>
      <c r="AB70">
        <v>0</v>
      </c>
      <c r="AC70">
        <v>0</v>
      </c>
      <c r="AD70">
        <v>1</v>
      </c>
      <c r="AE70">
        <v>0</v>
      </c>
      <c r="AG70">
        <v>3.92</v>
      </c>
      <c r="AH70">
        <v>2</v>
      </c>
      <c r="AI70">
        <v>42255017</v>
      </c>
      <c r="AJ70">
        <v>73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ROW(Source!A158)</f>
        <v>158</v>
      </c>
      <c r="B71">
        <v>42255026</v>
      </c>
      <c r="C71">
        <v>42255014</v>
      </c>
      <c r="D71">
        <v>36882180</v>
      </c>
      <c r="E71">
        <v>1</v>
      </c>
      <c r="F71">
        <v>1</v>
      </c>
      <c r="G71">
        <v>1</v>
      </c>
      <c r="H71">
        <v>2</v>
      </c>
      <c r="I71" t="s">
        <v>555</v>
      </c>
      <c r="J71" t="s">
        <v>556</v>
      </c>
      <c r="K71" t="s">
        <v>557</v>
      </c>
      <c r="L71">
        <v>1368</v>
      </c>
      <c r="N71">
        <v>1011</v>
      </c>
      <c r="O71" t="s">
        <v>470</v>
      </c>
      <c r="P71" t="s">
        <v>470</v>
      </c>
      <c r="Q71">
        <v>1</v>
      </c>
      <c r="X71">
        <v>20.38</v>
      </c>
      <c r="Y71">
        <v>0</v>
      </c>
      <c r="Z71">
        <v>96.89</v>
      </c>
      <c r="AA71">
        <v>13.5</v>
      </c>
      <c r="AB71">
        <v>0</v>
      </c>
      <c r="AC71">
        <v>0</v>
      </c>
      <c r="AD71">
        <v>1</v>
      </c>
      <c r="AE71">
        <v>0</v>
      </c>
      <c r="AG71">
        <v>20.38</v>
      </c>
      <c r="AH71">
        <v>2</v>
      </c>
      <c r="AI71">
        <v>42255018</v>
      </c>
      <c r="AJ71">
        <v>74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ROW(Source!A158)</f>
        <v>158</v>
      </c>
      <c r="B72">
        <v>42255027</v>
      </c>
      <c r="C72">
        <v>42255014</v>
      </c>
      <c r="D72">
        <v>36883554</v>
      </c>
      <c r="E72">
        <v>1</v>
      </c>
      <c r="F72">
        <v>1</v>
      </c>
      <c r="G72">
        <v>1</v>
      </c>
      <c r="H72">
        <v>2</v>
      </c>
      <c r="I72" t="s">
        <v>498</v>
      </c>
      <c r="J72" t="s">
        <v>499</v>
      </c>
      <c r="K72" t="s">
        <v>500</v>
      </c>
      <c r="L72">
        <v>1368</v>
      </c>
      <c r="N72">
        <v>1011</v>
      </c>
      <c r="O72" t="s">
        <v>470</v>
      </c>
      <c r="P72" t="s">
        <v>470</v>
      </c>
      <c r="Q72">
        <v>1</v>
      </c>
      <c r="X72">
        <v>5.89</v>
      </c>
      <c r="Y72">
        <v>0</v>
      </c>
      <c r="Z72">
        <v>65.71</v>
      </c>
      <c r="AA72">
        <v>11.6</v>
      </c>
      <c r="AB72">
        <v>0</v>
      </c>
      <c r="AC72">
        <v>0</v>
      </c>
      <c r="AD72">
        <v>1</v>
      </c>
      <c r="AE72">
        <v>0</v>
      </c>
      <c r="AG72">
        <v>5.89</v>
      </c>
      <c r="AH72">
        <v>2</v>
      </c>
      <c r="AI72">
        <v>42255019</v>
      </c>
      <c r="AJ72">
        <v>75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ROW(Source!A158)</f>
        <v>158</v>
      </c>
      <c r="B73">
        <v>42255028</v>
      </c>
      <c r="C73">
        <v>42255014</v>
      </c>
      <c r="D73">
        <v>36796108</v>
      </c>
      <c r="E73">
        <v>17</v>
      </c>
      <c r="F73">
        <v>1</v>
      </c>
      <c r="G73">
        <v>1</v>
      </c>
      <c r="H73">
        <v>3</v>
      </c>
      <c r="I73" t="s">
        <v>710</v>
      </c>
      <c r="K73" t="s">
        <v>711</v>
      </c>
      <c r="L73">
        <v>1339</v>
      </c>
      <c r="N73">
        <v>1007</v>
      </c>
      <c r="O73" t="s">
        <v>140</v>
      </c>
      <c r="P73" t="s">
        <v>140</v>
      </c>
      <c r="Q73">
        <v>1</v>
      </c>
      <c r="X73">
        <v>0.71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G73">
        <v>0.71</v>
      </c>
      <c r="AH73">
        <v>3</v>
      </c>
      <c r="AI73">
        <v>-1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ROW(Source!A158)</f>
        <v>158</v>
      </c>
      <c r="B74">
        <v>42255029</v>
      </c>
      <c r="C74">
        <v>42255014</v>
      </c>
      <c r="D74">
        <v>36807342</v>
      </c>
      <c r="E74">
        <v>1</v>
      </c>
      <c r="F74">
        <v>1</v>
      </c>
      <c r="G74">
        <v>1</v>
      </c>
      <c r="H74">
        <v>3</v>
      </c>
      <c r="I74" t="s">
        <v>558</v>
      </c>
      <c r="J74" t="s">
        <v>559</v>
      </c>
      <c r="K74" t="s">
        <v>560</v>
      </c>
      <c r="L74">
        <v>1339</v>
      </c>
      <c r="N74">
        <v>1007</v>
      </c>
      <c r="O74" t="s">
        <v>140</v>
      </c>
      <c r="P74" t="s">
        <v>140</v>
      </c>
      <c r="Q74">
        <v>1</v>
      </c>
      <c r="X74">
        <v>1.65</v>
      </c>
      <c r="Y74">
        <v>519.8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1.65</v>
      </c>
      <c r="AH74">
        <v>2</v>
      </c>
      <c r="AI74">
        <v>42255020</v>
      </c>
      <c r="AJ74">
        <v>77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ROW(Source!A158)</f>
        <v>158</v>
      </c>
      <c r="B75">
        <v>42255030</v>
      </c>
      <c r="C75">
        <v>42255014</v>
      </c>
      <c r="D75">
        <v>36796155</v>
      </c>
      <c r="E75">
        <v>17</v>
      </c>
      <c r="F75">
        <v>1</v>
      </c>
      <c r="G75">
        <v>1</v>
      </c>
      <c r="H75">
        <v>3</v>
      </c>
      <c r="I75" t="s">
        <v>712</v>
      </c>
      <c r="K75" t="s">
        <v>713</v>
      </c>
      <c r="L75">
        <v>1354</v>
      </c>
      <c r="N75">
        <v>1010</v>
      </c>
      <c r="O75" t="s">
        <v>525</v>
      </c>
      <c r="P75" t="s">
        <v>525</v>
      </c>
      <c r="Q75">
        <v>1</v>
      </c>
      <c r="X75">
        <v>100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G75">
        <v>100</v>
      </c>
      <c r="AH75">
        <v>3</v>
      </c>
      <c r="AI75">
        <v>-1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ROW(Source!A161)</f>
        <v>161</v>
      </c>
      <c r="B76">
        <v>42255046</v>
      </c>
      <c r="C76">
        <v>42255033</v>
      </c>
      <c r="D76">
        <v>37068148</v>
      </c>
      <c r="E76">
        <v>1</v>
      </c>
      <c r="F76">
        <v>1</v>
      </c>
      <c r="G76">
        <v>1</v>
      </c>
      <c r="H76">
        <v>1</v>
      </c>
      <c r="I76" t="s">
        <v>561</v>
      </c>
      <c r="K76" t="s">
        <v>562</v>
      </c>
      <c r="L76">
        <v>1191</v>
      </c>
      <c r="N76">
        <v>1013</v>
      </c>
      <c r="O76" t="s">
        <v>462</v>
      </c>
      <c r="P76" t="s">
        <v>462</v>
      </c>
      <c r="Q76">
        <v>1</v>
      </c>
      <c r="X76">
        <v>75.58</v>
      </c>
      <c r="Y76">
        <v>0</v>
      </c>
      <c r="Z76">
        <v>0</v>
      </c>
      <c r="AA76">
        <v>0</v>
      </c>
      <c r="AB76">
        <v>8.09</v>
      </c>
      <c r="AC76">
        <v>0</v>
      </c>
      <c r="AD76">
        <v>1</v>
      </c>
      <c r="AE76">
        <v>1</v>
      </c>
      <c r="AG76">
        <v>75.58</v>
      </c>
      <c r="AH76">
        <v>2</v>
      </c>
      <c r="AI76">
        <v>42255034</v>
      </c>
      <c r="AJ76">
        <v>79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ROW(Source!A161)</f>
        <v>161</v>
      </c>
      <c r="B77">
        <v>42255047</v>
      </c>
      <c r="C77">
        <v>42255033</v>
      </c>
      <c r="D77">
        <v>37064876</v>
      </c>
      <c r="E77">
        <v>1</v>
      </c>
      <c r="F77">
        <v>1</v>
      </c>
      <c r="G77">
        <v>1</v>
      </c>
      <c r="H77">
        <v>1</v>
      </c>
      <c r="I77" t="s">
        <v>465</v>
      </c>
      <c r="K77" t="s">
        <v>466</v>
      </c>
      <c r="L77">
        <v>1191</v>
      </c>
      <c r="N77">
        <v>1013</v>
      </c>
      <c r="O77" t="s">
        <v>462</v>
      </c>
      <c r="P77" t="s">
        <v>462</v>
      </c>
      <c r="Q77">
        <v>1</v>
      </c>
      <c r="X77">
        <v>0.43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G77">
        <v>0.43</v>
      </c>
      <c r="AH77">
        <v>2</v>
      </c>
      <c r="AI77">
        <v>42255035</v>
      </c>
      <c r="AJ77">
        <v>80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ROW(Source!A161)</f>
        <v>161</v>
      </c>
      <c r="B78">
        <v>42255048</v>
      </c>
      <c r="C78">
        <v>42255033</v>
      </c>
      <c r="D78">
        <v>36882356</v>
      </c>
      <c r="E78">
        <v>1</v>
      </c>
      <c r="F78">
        <v>1</v>
      </c>
      <c r="G78">
        <v>1</v>
      </c>
      <c r="H78">
        <v>2</v>
      </c>
      <c r="I78" t="s">
        <v>563</v>
      </c>
      <c r="J78" t="s">
        <v>564</v>
      </c>
      <c r="K78" t="s">
        <v>565</v>
      </c>
      <c r="L78">
        <v>1368</v>
      </c>
      <c r="N78">
        <v>1011</v>
      </c>
      <c r="O78" t="s">
        <v>470</v>
      </c>
      <c r="P78" t="s">
        <v>470</v>
      </c>
      <c r="Q78">
        <v>1</v>
      </c>
      <c r="X78">
        <v>0.23</v>
      </c>
      <c r="Y78">
        <v>0</v>
      </c>
      <c r="Z78">
        <v>1.7</v>
      </c>
      <c r="AA78">
        <v>0</v>
      </c>
      <c r="AB78">
        <v>0</v>
      </c>
      <c r="AC78">
        <v>0</v>
      </c>
      <c r="AD78">
        <v>1</v>
      </c>
      <c r="AE78">
        <v>0</v>
      </c>
      <c r="AG78">
        <v>0.23</v>
      </c>
      <c r="AH78">
        <v>2</v>
      </c>
      <c r="AI78">
        <v>42255036</v>
      </c>
      <c r="AJ78">
        <v>81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ROW(Source!A161)</f>
        <v>161</v>
      </c>
      <c r="B79">
        <v>42255049</v>
      </c>
      <c r="C79">
        <v>42255033</v>
      </c>
      <c r="D79">
        <v>36883554</v>
      </c>
      <c r="E79">
        <v>1</v>
      </c>
      <c r="F79">
        <v>1</v>
      </c>
      <c r="G79">
        <v>1</v>
      </c>
      <c r="H79">
        <v>2</v>
      </c>
      <c r="I79" t="s">
        <v>498</v>
      </c>
      <c r="J79" t="s">
        <v>499</v>
      </c>
      <c r="K79" t="s">
        <v>500</v>
      </c>
      <c r="L79">
        <v>1368</v>
      </c>
      <c r="N79">
        <v>1011</v>
      </c>
      <c r="O79" t="s">
        <v>470</v>
      </c>
      <c r="P79" t="s">
        <v>470</v>
      </c>
      <c r="Q79">
        <v>1</v>
      </c>
      <c r="X79">
        <v>0.43</v>
      </c>
      <c r="Y79">
        <v>0</v>
      </c>
      <c r="Z79">
        <v>65.71</v>
      </c>
      <c r="AA79">
        <v>11.6</v>
      </c>
      <c r="AB79">
        <v>0</v>
      </c>
      <c r="AC79">
        <v>0</v>
      </c>
      <c r="AD79">
        <v>1</v>
      </c>
      <c r="AE79">
        <v>0</v>
      </c>
      <c r="AG79">
        <v>0.43</v>
      </c>
      <c r="AH79">
        <v>2</v>
      </c>
      <c r="AI79">
        <v>42255037</v>
      </c>
      <c r="AJ79">
        <v>82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ROW(Source!A161)</f>
        <v>161</v>
      </c>
      <c r="B80">
        <v>42255050</v>
      </c>
      <c r="C80">
        <v>42255033</v>
      </c>
      <c r="D80">
        <v>36801792</v>
      </c>
      <c r="E80">
        <v>1</v>
      </c>
      <c r="F80">
        <v>1</v>
      </c>
      <c r="G80">
        <v>1</v>
      </c>
      <c r="H80">
        <v>3</v>
      </c>
      <c r="I80" t="s">
        <v>540</v>
      </c>
      <c r="J80" t="s">
        <v>541</v>
      </c>
      <c r="K80" t="s">
        <v>542</v>
      </c>
      <c r="L80">
        <v>1339</v>
      </c>
      <c r="N80">
        <v>1007</v>
      </c>
      <c r="O80" t="s">
        <v>140</v>
      </c>
      <c r="P80" t="s">
        <v>140</v>
      </c>
      <c r="Q80">
        <v>1</v>
      </c>
      <c r="X80">
        <v>0.0137</v>
      </c>
      <c r="Y80">
        <v>2.44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0.0137</v>
      </c>
      <c r="AH80">
        <v>2</v>
      </c>
      <c r="AI80">
        <v>42255038</v>
      </c>
      <c r="AJ80">
        <v>83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ROW(Source!A161)</f>
        <v>161</v>
      </c>
      <c r="B81">
        <v>42255051</v>
      </c>
      <c r="C81">
        <v>42255033</v>
      </c>
      <c r="D81">
        <v>36804545</v>
      </c>
      <c r="E81">
        <v>1</v>
      </c>
      <c r="F81">
        <v>1</v>
      </c>
      <c r="G81">
        <v>1</v>
      </c>
      <c r="H81">
        <v>3</v>
      </c>
      <c r="I81" t="s">
        <v>566</v>
      </c>
      <c r="J81" t="s">
        <v>567</v>
      </c>
      <c r="K81" t="s">
        <v>568</v>
      </c>
      <c r="L81">
        <v>1348</v>
      </c>
      <c r="N81">
        <v>1009</v>
      </c>
      <c r="O81" t="s">
        <v>246</v>
      </c>
      <c r="P81" t="s">
        <v>246</v>
      </c>
      <c r="Q81">
        <v>1000</v>
      </c>
      <c r="X81">
        <v>0.0059</v>
      </c>
      <c r="Y81">
        <v>11978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G81">
        <v>0.0059</v>
      </c>
      <c r="AH81">
        <v>2</v>
      </c>
      <c r="AI81">
        <v>42255039</v>
      </c>
      <c r="AJ81">
        <v>84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ROW(Source!A161)</f>
        <v>161</v>
      </c>
      <c r="B82">
        <v>42255052</v>
      </c>
      <c r="C82">
        <v>42255033</v>
      </c>
      <c r="D82">
        <v>36806520</v>
      </c>
      <c r="E82">
        <v>1</v>
      </c>
      <c r="F82">
        <v>1</v>
      </c>
      <c r="G82">
        <v>1</v>
      </c>
      <c r="H82">
        <v>3</v>
      </c>
      <c r="I82" t="s">
        <v>569</v>
      </c>
      <c r="J82" t="s">
        <v>570</v>
      </c>
      <c r="K82" t="s">
        <v>571</v>
      </c>
      <c r="L82">
        <v>1348</v>
      </c>
      <c r="N82">
        <v>1009</v>
      </c>
      <c r="O82" t="s">
        <v>246</v>
      </c>
      <c r="P82" t="s">
        <v>246</v>
      </c>
      <c r="Q82">
        <v>1000</v>
      </c>
      <c r="X82">
        <v>0.0049</v>
      </c>
      <c r="Y82">
        <v>734.5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0.0049</v>
      </c>
      <c r="AH82">
        <v>2</v>
      </c>
      <c r="AI82">
        <v>42255040</v>
      </c>
      <c r="AJ82">
        <v>85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ROW(Source!A161)</f>
        <v>161</v>
      </c>
      <c r="B83">
        <v>42255053</v>
      </c>
      <c r="C83">
        <v>42255033</v>
      </c>
      <c r="D83">
        <v>36796108</v>
      </c>
      <c r="E83">
        <v>17</v>
      </c>
      <c r="F83">
        <v>1</v>
      </c>
      <c r="G83">
        <v>1</v>
      </c>
      <c r="H83">
        <v>3</v>
      </c>
      <c r="I83" t="s">
        <v>710</v>
      </c>
      <c r="K83" t="s">
        <v>714</v>
      </c>
      <c r="L83">
        <v>1339</v>
      </c>
      <c r="N83">
        <v>1007</v>
      </c>
      <c r="O83" t="s">
        <v>140</v>
      </c>
      <c r="P83" t="s">
        <v>140</v>
      </c>
      <c r="Q83">
        <v>1</v>
      </c>
      <c r="X83">
        <v>1.04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G83">
        <v>1.04</v>
      </c>
      <c r="AH83">
        <v>3</v>
      </c>
      <c r="AI83">
        <v>-1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ROW(Source!A161)</f>
        <v>161</v>
      </c>
      <c r="B84">
        <v>42255054</v>
      </c>
      <c r="C84">
        <v>42255033</v>
      </c>
      <c r="D84">
        <v>36825608</v>
      </c>
      <c r="E84">
        <v>1</v>
      </c>
      <c r="F84">
        <v>1</v>
      </c>
      <c r="G84">
        <v>1</v>
      </c>
      <c r="H84">
        <v>3</v>
      </c>
      <c r="I84" t="s">
        <v>572</v>
      </c>
      <c r="J84" t="s">
        <v>573</v>
      </c>
      <c r="K84" t="s">
        <v>574</v>
      </c>
      <c r="L84">
        <v>1348</v>
      </c>
      <c r="N84">
        <v>1009</v>
      </c>
      <c r="O84" t="s">
        <v>246</v>
      </c>
      <c r="P84" t="s">
        <v>246</v>
      </c>
      <c r="Q84">
        <v>1000</v>
      </c>
      <c r="X84">
        <v>0.0005</v>
      </c>
      <c r="Y84">
        <v>10200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0.0005</v>
      </c>
      <c r="AH84">
        <v>2</v>
      </c>
      <c r="AI84">
        <v>42255041</v>
      </c>
      <c r="AJ84">
        <v>87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ROW(Source!A161)</f>
        <v>161</v>
      </c>
      <c r="B85">
        <v>42255055</v>
      </c>
      <c r="C85">
        <v>42255033</v>
      </c>
      <c r="D85">
        <v>36825646</v>
      </c>
      <c r="E85">
        <v>1</v>
      </c>
      <c r="F85">
        <v>1</v>
      </c>
      <c r="G85">
        <v>1</v>
      </c>
      <c r="H85">
        <v>3</v>
      </c>
      <c r="I85" t="s">
        <v>575</v>
      </c>
      <c r="J85" t="s">
        <v>576</v>
      </c>
      <c r="K85" t="s">
        <v>577</v>
      </c>
      <c r="L85">
        <v>1348</v>
      </c>
      <c r="N85">
        <v>1009</v>
      </c>
      <c r="O85" t="s">
        <v>246</v>
      </c>
      <c r="P85" t="s">
        <v>246</v>
      </c>
      <c r="Q85">
        <v>1000</v>
      </c>
      <c r="X85">
        <v>0.0095</v>
      </c>
      <c r="Y85">
        <v>4455.2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0.0095</v>
      </c>
      <c r="AH85">
        <v>2</v>
      </c>
      <c r="AI85">
        <v>42255042</v>
      </c>
      <c r="AJ85">
        <v>88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ROW(Source!A161)</f>
        <v>161</v>
      </c>
      <c r="B86">
        <v>42255056</v>
      </c>
      <c r="C86">
        <v>42255033</v>
      </c>
      <c r="D86">
        <v>36796448</v>
      </c>
      <c r="E86">
        <v>17</v>
      </c>
      <c r="F86">
        <v>1</v>
      </c>
      <c r="G86">
        <v>1</v>
      </c>
      <c r="H86">
        <v>3</v>
      </c>
      <c r="I86" t="s">
        <v>715</v>
      </c>
      <c r="K86" t="s">
        <v>716</v>
      </c>
      <c r="L86">
        <v>1348</v>
      </c>
      <c r="N86">
        <v>1009</v>
      </c>
      <c r="O86" t="s">
        <v>246</v>
      </c>
      <c r="P86" t="s">
        <v>246</v>
      </c>
      <c r="Q86">
        <v>1000</v>
      </c>
      <c r="X86">
        <v>0.07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G86">
        <v>0.07</v>
      </c>
      <c r="AH86">
        <v>3</v>
      </c>
      <c r="AI86">
        <v>-1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ROW(Source!A161)</f>
        <v>161</v>
      </c>
      <c r="B87">
        <v>42255057</v>
      </c>
      <c r="C87">
        <v>42255033</v>
      </c>
      <c r="D87">
        <v>36830315</v>
      </c>
      <c r="E87">
        <v>1</v>
      </c>
      <c r="F87">
        <v>1</v>
      </c>
      <c r="G87">
        <v>1</v>
      </c>
      <c r="H87">
        <v>3</v>
      </c>
      <c r="I87" t="s">
        <v>578</v>
      </c>
      <c r="J87" t="s">
        <v>579</v>
      </c>
      <c r="K87" t="s">
        <v>580</v>
      </c>
      <c r="L87">
        <v>1339</v>
      </c>
      <c r="N87">
        <v>1007</v>
      </c>
      <c r="O87" t="s">
        <v>140</v>
      </c>
      <c r="P87" t="s">
        <v>140</v>
      </c>
      <c r="Q87">
        <v>1</v>
      </c>
      <c r="X87">
        <v>0.21</v>
      </c>
      <c r="Y87">
        <v>1287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0.21</v>
      </c>
      <c r="AH87">
        <v>2</v>
      </c>
      <c r="AI87">
        <v>42255043</v>
      </c>
      <c r="AJ87">
        <v>89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ROW(Source!A161)</f>
        <v>161</v>
      </c>
      <c r="B88">
        <v>42255058</v>
      </c>
      <c r="C88">
        <v>42255033</v>
      </c>
      <c r="D88">
        <v>36830505</v>
      </c>
      <c r="E88">
        <v>1</v>
      </c>
      <c r="F88">
        <v>1</v>
      </c>
      <c r="G88">
        <v>1</v>
      </c>
      <c r="H88">
        <v>3</v>
      </c>
      <c r="I88" t="s">
        <v>581</v>
      </c>
      <c r="J88" t="s">
        <v>582</v>
      </c>
      <c r="K88" t="s">
        <v>583</v>
      </c>
      <c r="L88">
        <v>1339</v>
      </c>
      <c r="N88">
        <v>1007</v>
      </c>
      <c r="O88" t="s">
        <v>140</v>
      </c>
      <c r="P88" t="s">
        <v>140</v>
      </c>
      <c r="Q88">
        <v>1</v>
      </c>
      <c r="X88">
        <v>0.18</v>
      </c>
      <c r="Y88">
        <v>1155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0.18</v>
      </c>
      <c r="AH88">
        <v>2</v>
      </c>
      <c r="AI88">
        <v>42255044</v>
      </c>
      <c r="AJ88">
        <v>90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ROW(Source!A163)</f>
        <v>163</v>
      </c>
      <c r="B89">
        <v>42255068</v>
      </c>
      <c r="C89">
        <v>42255060</v>
      </c>
      <c r="D89">
        <v>37064928</v>
      </c>
      <c r="E89">
        <v>1</v>
      </c>
      <c r="F89">
        <v>1</v>
      </c>
      <c r="G89">
        <v>1</v>
      </c>
      <c r="H89">
        <v>1</v>
      </c>
      <c r="I89" t="s">
        <v>584</v>
      </c>
      <c r="K89" t="s">
        <v>585</v>
      </c>
      <c r="L89">
        <v>1191</v>
      </c>
      <c r="N89">
        <v>1013</v>
      </c>
      <c r="O89" t="s">
        <v>462</v>
      </c>
      <c r="P89" t="s">
        <v>462</v>
      </c>
      <c r="Q89">
        <v>1</v>
      </c>
      <c r="X89">
        <v>9</v>
      </c>
      <c r="Y89">
        <v>0</v>
      </c>
      <c r="Z89">
        <v>0</v>
      </c>
      <c r="AA89">
        <v>0</v>
      </c>
      <c r="AB89">
        <v>9.07</v>
      </c>
      <c r="AC89">
        <v>0</v>
      </c>
      <c r="AD89">
        <v>1</v>
      </c>
      <c r="AE89">
        <v>1</v>
      </c>
      <c r="AG89">
        <v>9</v>
      </c>
      <c r="AH89">
        <v>2</v>
      </c>
      <c r="AI89">
        <v>42255061</v>
      </c>
      <c r="AJ89">
        <v>91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ROW(Source!A163)</f>
        <v>163</v>
      </c>
      <c r="B90">
        <v>42255069</v>
      </c>
      <c r="C90">
        <v>42255060</v>
      </c>
      <c r="D90">
        <v>36883789</v>
      </c>
      <c r="E90">
        <v>1</v>
      </c>
      <c r="F90">
        <v>1</v>
      </c>
      <c r="G90">
        <v>1</v>
      </c>
      <c r="H90">
        <v>2</v>
      </c>
      <c r="I90" t="s">
        <v>586</v>
      </c>
      <c r="J90" t="s">
        <v>587</v>
      </c>
      <c r="K90" t="s">
        <v>588</v>
      </c>
      <c r="L90">
        <v>1368</v>
      </c>
      <c r="N90">
        <v>1011</v>
      </c>
      <c r="O90" t="s">
        <v>470</v>
      </c>
      <c r="P90" t="s">
        <v>470</v>
      </c>
      <c r="Q90">
        <v>1</v>
      </c>
      <c r="X90">
        <v>0.03</v>
      </c>
      <c r="Y90">
        <v>0</v>
      </c>
      <c r="Z90">
        <v>1.2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0.03</v>
      </c>
      <c r="AH90">
        <v>2</v>
      </c>
      <c r="AI90">
        <v>42255062</v>
      </c>
      <c r="AJ90">
        <v>92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ROW(Source!A163)</f>
        <v>163</v>
      </c>
      <c r="B91">
        <v>42255070</v>
      </c>
      <c r="C91">
        <v>42255060</v>
      </c>
      <c r="D91">
        <v>36883858</v>
      </c>
      <c r="E91">
        <v>1</v>
      </c>
      <c r="F91">
        <v>1</v>
      </c>
      <c r="G91">
        <v>1</v>
      </c>
      <c r="H91">
        <v>2</v>
      </c>
      <c r="I91" t="s">
        <v>501</v>
      </c>
      <c r="J91" t="s">
        <v>502</v>
      </c>
      <c r="K91" t="s">
        <v>503</v>
      </c>
      <c r="L91">
        <v>1368</v>
      </c>
      <c r="N91">
        <v>1011</v>
      </c>
      <c r="O91" t="s">
        <v>470</v>
      </c>
      <c r="P91" t="s">
        <v>470</v>
      </c>
      <c r="Q91">
        <v>1</v>
      </c>
      <c r="X91">
        <v>0.03</v>
      </c>
      <c r="Y91">
        <v>0</v>
      </c>
      <c r="Z91">
        <v>8.1</v>
      </c>
      <c r="AA91">
        <v>0</v>
      </c>
      <c r="AB91">
        <v>0</v>
      </c>
      <c r="AC91">
        <v>0</v>
      </c>
      <c r="AD91">
        <v>1</v>
      </c>
      <c r="AE91">
        <v>0</v>
      </c>
      <c r="AG91">
        <v>0.03</v>
      </c>
      <c r="AH91">
        <v>2</v>
      </c>
      <c r="AI91">
        <v>42255063</v>
      </c>
      <c r="AJ91">
        <v>93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ROW(Source!A163)</f>
        <v>163</v>
      </c>
      <c r="B92">
        <v>42255071</v>
      </c>
      <c r="C92">
        <v>42255060</v>
      </c>
      <c r="D92">
        <v>36800140</v>
      </c>
      <c r="E92">
        <v>1</v>
      </c>
      <c r="F92">
        <v>1</v>
      </c>
      <c r="G92">
        <v>1</v>
      </c>
      <c r="H92">
        <v>3</v>
      </c>
      <c r="I92" t="s">
        <v>589</v>
      </c>
      <c r="J92" t="s">
        <v>590</v>
      </c>
      <c r="K92" t="s">
        <v>591</v>
      </c>
      <c r="L92">
        <v>1339</v>
      </c>
      <c r="N92">
        <v>1007</v>
      </c>
      <c r="O92" t="s">
        <v>140</v>
      </c>
      <c r="P92" t="s">
        <v>140</v>
      </c>
      <c r="Q92">
        <v>1</v>
      </c>
      <c r="X92">
        <v>0.0045</v>
      </c>
      <c r="Y92">
        <v>38.51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G92">
        <v>0.0045</v>
      </c>
      <c r="AH92">
        <v>2</v>
      </c>
      <c r="AI92">
        <v>42255064</v>
      </c>
      <c r="AJ92">
        <v>94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ROW(Source!A163)</f>
        <v>163</v>
      </c>
      <c r="B93">
        <v>42255072</v>
      </c>
      <c r="C93">
        <v>42255060</v>
      </c>
      <c r="D93">
        <v>36800159</v>
      </c>
      <c r="E93">
        <v>1</v>
      </c>
      <c r="F93">
        <v>1</v>
      </c>
      <c r="G93">
        <v>1</v>
      </c>
      <c r="H93">
        <v>3</v>
      </c>
      <c r="I93" t="s">
        <v>592</v>
      </c>
      <c r="J93" t="s">
        <v>593</v>
      </c>
      <c r="K93" t="s">
        <v>594</v>
      </c>
      <c r="L93">
        <v>1339</v>
      </c>
      <c r="N93">
        <v>1007</v>
      </c>
      <c r="O93" t="s">
        <v>140</v>
      </c>
      <c r="P93" t="s">
        <v>140</v>
      </c>
      <c r="Q93">
        <v>1</v>
      </c>
      <c r="X93">
        <v>0.022</v>
      </c>
      <c r="Y93">
        <v>6.22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G93">
        <v>0.022</v>
      </c>
      <c r="AH93">
        <v>2</v>
      </c>
      <c r="AI93">
        <v>42255065</v>
      </c>
      <c r="AJ93">
        <v>95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ROW(Source!A163)</f>
        <v>163</v>
      </c>
      <c r="B94">
        <v>42255073</v>
      </c>
      <c r="C94">
        <v>42255060</v>
      </c>
      <c r="D94">
        <v>36800420</v>
      </c>
      <c r="E94">
        <v>1</v>
      </c>
      <c r="F94">
        <v>1</v>
      </c>
      <c r="G94">
        <v>1</v>
      </c>
      <c r="H94">
        <v>3</v>
      </c>
      <c r="I94" t="s">
        <v>595</v>
      </c>
      <c r="J94" t="s">
        <v>596</v>
      </c>
      <c r="K94" t="s">
        <v>597</v>
      </c>
      <c r="L94">
        <v>1348</v>
      </c>
      <c r="N94">
        <v>1009</v>
      </c>
      <c r="O94" t="s">
        <v>246</v>
      </c>
      <c r="P94" t="s">
        <v>246</v>
      </c>
      <c r="Q94">
        <v>1000</v>
      </c>
      <c r="X94">
        <v>2E-05</v>
      </c>
      <c r="Y94">
        <v>3040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G94">
        <v>2E-05</v>
      </c>
      <c r="AH94">
        <v>2</v>
      </c>
      <c r="AI94">
        <v>42255066</v>
      </c>
      <c r="AJ94">
        <v>96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ROW(Source!A163)</f>
        <v>163</v>
      </c>
      <c r="B95">
        <v>42255074</v>
      </c>
      <c r="C95">
        <v>42255060</v>
      </c>
      <c r="D95">
        <v>36803256</v>
      </c>
      <c r="E95">
        <v>1</v>
      </c>
      <c r="F95">
        <v>1</v>
      </c>
      <c r="G95">
        <v>1</v>
      </c>
      <c r="H95">
        <v>3</v>
      </c>
      <c r="I95" t="s">
        <v>598</v>
      </c>
      <c r="J95" t="s">
        <v>599</v>
      </c>
      <c r="K95" t="s">
        <v>600</v>
      </c>
      <c r="L95">
        <v>1348</v>
      </c>
      <c r="N95">
        <v>1009</v>
      </c>
      <c r="O95" t="s">
        <v>246</v>
      </c>
      <c r="P95" t="s">
        <v>246</v>
      </c>
      <c r="Q95">
        <v>1000</v>
      </c>
      <c r="X95">
        <v>1E-05</v>
      </c>
      <c r="Y95">
        <v>10315.01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1E-05</v>
      </c>
      <c r="AH95">
        <v>2</v>
      </c>
      <c r="AI95">
        <v>42255067</v>
      </c>
      <c r="AJ95">
        <v>97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ROW(Source!A163)</f>
        <v>163</v>
      </c>
      <c r="B96">
        <v>42255075</v>
      </c>
      <c r="C96">
        <v>42255060</v>
      </c>
      <c r="D96">
        <v>36796041</v>
      </c>
      <c r="E96">
        <v>17</v>
      </c>
      <c r="F96">
        <v>1</v>
      </c>
      <c r="G96">
        <v>1</v>
      </c>
      <c r="H96">
        <v>3</v>
      </c>
      <c r="I96" t="s">
        <v>717</v>
      </c>
      <c r="K96" t="s">
        <v>718</v>
      </c>
      <c r="L96">
        <v>1301</v>
      </c>
      <c r="N96">
        <v>1003</v>
      </c>
      <c r="O96" t="s">
        <v>241</v>
      </c>
      <c r="P96" t="s">
        <v>241</v>
      </c>
      <c r="Q96">
        <v>1</v>
      </c>
      <c r="X96">
        <v>0</v>
      </c>
      <c r="Y96">
        <v>0</v>
      </c>
      <c r="Z96">
        <v>0</v>
      </c>
      <c r="AA96">
        <v>0</v>
      </c>
      <c r="AB96">
        <v>0</v>
      </c>
      <c r="AC96">
        <v>1</v>
      </c>
      <c r="AD96">
        <v>0</v>
      </c>
      <c r="AE96">
        <v>0</v>
      </c>
      <c r="AG96">
        <v>0</v>
      </c>
      <c r="AH96">
        <v>3</v>
      </c>
      <c r="AI96">
        <v>-1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ROW(Source!A164)</f>
        <v>164</v>
      </c>
      <c r="B97">
        <v>42255086</v>
      </c>
      <c r="C97">
        <v>42255076</v>
      </c>
      <c r="D97">
        <v>37072767</v>
      </c>
      <c r="E97">
        <v>1</v>
      </c>
      <c r="F97">
        <v>1</v>
      </c>
      <c r="G97">
        <v>1</v>
      </c>
      <c r="H97">
        <v>1</v>
      </c>
      <c r="I97" t="s">
        <v>601</v>
      </c>
      <c r="K97" t="s">
        <v>602</v>
      </c>
      <c r="L97">
        <v>1191</v>
      </c>
      <c r="N97">
        <v>1013</v>
      </c>
      <c r="O97" t="s">
        <v>462</v>
      </c>
      <c r="P97" t="s">
        <v>462</v>
      </c>
      <c r="Q97">
        <v>1</v>
      </c>
      <c r="X97">
        <v>362.52</v>
      </c>
      <c r="Y97">
        <v>0</v>
      </c>
      <c r="Z97">
        <v>0</v>
      </c>
      <c r="AA97">
        <v>0</v>
      </c>
      <c r="AB97">
        <v>9.18</v>
      </c>
      <c r="AC97">
        <v>0</v>
      </c>
      <c r="AD97">
        <v>1</v>
      </c>
      <c r="AE97">
        <v>1</v>
      </c>
      <c r="AG97">
        <v>362.52</v>
      </c>
      <c r="AH97">
        <v>2</v>
      </c>
      <c r="AI97">
        <v>42255077</v>
      </c>
      <c r="AJ97">
        <v>98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ROW(Source!A164)</f>
        <v>164</v>
      </c>
      <c r="B98">
        <v>42255087</v>
      </c>
      <c r="C98">
        <v>42255076</v>
      </c>
      <c r="D98">
        <v>37064876</v>
      </c>
      <c r="E98">
        <v>1</v>
      </c>
      <c r="F98">
        <v>1</v>
      </c>
      <c r="G98">
        <v>1</v>
      </c>
      <c r="H98">
        <v>1</v>
      </c>
      <c r="I98" t="s">
        <v>465</v>
      </c>
      <c r="K98" t="s">
        <v>466</v>
      </c>
      <c r="L98">
        <v>1191</v>
      </c>
      <c r="N98">
        <v>1013</v>
      </c>
      <c r="O98" t="s">
        <v>462</v>
      </c>
      <c r="P98" t="s">
        <v>462</v>
      </c>
      <c r="Q98">
        <v>1</v>
      </c>
      <c r="X98">
        <v>2.65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G98">
        <v>2.65</v>
      </c>
      <c r="AH98">
        <v>2</v>
      </c>
      <c r="AI98">
        <v>42255078</v>
      </c>
      <c r="AJ98">
        <v>99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ROW(Source!A164)</f>
        <v>164</v>
      </c>
      <c r="B99">
        <v>42255088</v>
      </c>
      <c r="C99">
        <v>42255076</v>
      </c>
      <c r="D99">
        <v>36882159</v>
      </c>
      <c r="E99">
        <v>1</v>
      </c>
      <c r="F99">
        <v>1</v>
      </c>
      <c r="G99">
        <v>1</v>
      </c>
      <c r="H99">
        <v>2</v>
      </c>
      <c r="I99" t="s">
        <v>495</v>
      </c>
      <c r="J99" t="s">
        <v>496</v>
      </c>
      <c r="K99" t="s">
        <v>497</v>
      </c>
      <c r="L99">
        <v>1368</v>
      </c>
      <c r="N99">
        <v>1011</v>
      </c>
      <c r="O99" t="s">
        <v>470</v>
      </c>
      <c r="P99" t="s">
        <v>470</v>
      </c>
      <c r="Q99">
        <v>1</v>
      </c>
      <c r="X99">
        <v>0.36</v>
      </c>
      <c r="Y99">
        <v>0</v>
      </c>
      <c r="Z99">
        <v>111.99</v>
      </c>
      <c r="AA99">
        <v>13.5</v>
      </c>
      <c r="AB99">
        <v>0</v>
      </c>
      <c r="AC99">
        <v>0</v>
      </c>
      <c r="AD99">
        <v>1</v>
      </c>
      <c r="AE99">
        <v>0</v>
      </c>
      <c r="AG99">
        <v>0.36</v>
      </c>
      <c r="AH99">
        <v>2</v>
      </c>
      <c r="AI99">
        <v>42255079</v>
      </c>
      <c r="AJ99">
        <v>100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ROW(Source!A164)</f>
        <v>164</v>
      </c>
      <c r="B100">
        <v>42255089</v>
      </c>
      <c r="C100">
        <v>42255076</v>
      </c>
      <c r="D100">
        <v>36883275</v>
      </c>
      <c r="E100">
        <v>1</v>
      </c>
      <c r="F100">
        <v>1</v>
      </c>
      <c r="G100">
        <v>1</v>
      </c>
      <c r="H100">
        <v>2</v>
      </c>
      <c r="I100" t="s">
        <v>603</v>
      </c>
      <c r="J100" t="s">
        <v>604</v>
      </c>
      <c r="K100" t="s">
        <v>605</v>
      </c>
      <c r="L100">
        <v>1368</v>
      </c>
      <c r="N100">
        <v>1011</v>
      </c>
      <c r="O100" t="s">
        <v>470</v>
      </c>
      <c r="P100" t="s">
        <v>470</v>
      </c>
      <c r="Q100">
        <v>1</v>
      </c>
      <c r="X100">
        <v>15</v>
      </c>
      <c r="Y100">
        <v>0</v>
      </c>
      <c r="Z100">
        <v>26.32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15</v>
      </c>
      <c r="AH100">
        <v>2</v>
      </c>
      <c r="AI100">
        <v>42255080</v>
      </c>
      <c r="AJ100">
        <v>101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ROW(Source!A164)</f>
        <v>164</v>
      </c>
      <c r="B101">
        <v>42255090</v>
      </c>
      <c r="C101">
        <v>42255076</v>
      </c>
      <c r="D101">
        <v>36883554</v>
      </c>
      <c r="E101">
        <v>1</v>
      </c>
      <c r="F101">
        <v>1</v>
      </c>
      <c r="G101">
        <v>1</v>
      </c>
      <c r="H101">
        <v>2</v>
      </c>
      <c r="I101" t="s">
        <v>498</v>
      </c>
      <c r="J101" t="s">
        <v>499</v>
      </c>
      <c r="K101" t="s">
        <v>500</v>
      </c>
      <c r="L101">
        <v>1368</v>
      </c>
      <c r="N101">
        <v>1011</v>
      </c>
      <c r="O101" t="s">
        <v>470</v>
      </c>
      <c r="P101" t="s">
        <v>470</v>
      </c>
      <c r="Q101">
        <v>1</v>
      </c>
      <c r="X101">
        <v>0.55</v>
      </c>
      <c r="Y101">
        <v>0</v>
      </c>
      <c r="Z101">
        <v>65.71</v>
      </c>
      <c r="AA101">
        <v>11.6</v>
      </c>
      <c r="AB101">
        <v>0</v>
      </c>
      <c r="AC101">
        <v>0</v>
      </c>
      <c r="AD101">
        <v>1</v>
      </c>
      <c r="AE101">
        <v>0</v>
      </c>
      <c r="AG101">
        <v>0.55</v>
      </c>
      <c r="AH101">
        <v>2</v>
      </c>
      <c r="AI101">
        <v>42255081</v>
      </c>
      <c r="AJ101">
        <v>102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ROW(Source!A164)</f>
        <v>164</v>
      </c>
      <c r="B102">
        <v>42255091</v>
      </c>
      <c r="C102">
        <v>42255076</v>
      </c>
      <c r="D102">
        <v>36883682</v>
      </c>
      <c r="E102">
        <v>1</v>
      </c>
      <c r="F102">
        <v>1</v>
      </c>
      <c r="G102">
        <v>1</v>
      </c>
      <c r="H102">
        <v>2</v>
      </c>
      <c r="I102" t="s">
        <v>606</v>
      </c>
      <c r="J102" t="s">
        <v>607</v>
      </c>
      <c r="K102" t="s">
        <v>608</v>
      </c>
      <c r="L102">
        <v>1368</v>
      </c>
      <c r="N102">
        <v>1011</v>
      </c>
      <c r="O102" t="s">
        <v>470</v>
      </c>
      <c r="P102" t="s">
        <v>470</v>
      </c>
      <c r="Q102">
        <v>1</v>
      </c>
      <c r="X102">
        <v>1.74</v>
      </c>
      <c r="Y102">
        <v>0</v>
      </c>
      <c r="Z102">
        <v>27.11</v>
      </c>
      <c r="AA102">
        <v>11.6</v>
      </c>
      <c r="AB102">
        <v>0</v>
      </c>
      <c r="AC102">
        <v>0</v>
      </c>
      <c r="AD102">
        <v>1</v>
      </c>
      <c r="AE102">
        <v>0</v>
      </c>
      <c r="AG102">
        <v>1.74</v>
      </c>
      <c r="AH102">
        <v>2</v>
      </c>
      <c r="AI102">
        <v>42255082</v>
      </c>
      <c r="AJ102">
        <v>103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ROW(Source!A164)</f>
        <v>164</v>
      </c>
      <c r="B103">
        <v>42255092</v>
      </c>
      <c r="C103">
        <v>42255076</v>
      </c>
      <c r="D103">
        <v>36801792</v>
      </c>
      <c r="E103">
        <v>1</v>
      </c>
      <c r="F103">
        <v>1</v>
      </c>
      <c r="G103">
        <v>1</v>
      </c>
      <c r="H103">
        <v>3</v>
      </c>
      <c r="I103" t="s">
        <v>540</v>
      </c>
      <c r="J103" t="s">
        <v>541</v>
      </c>
      <c r="K103" t="s">
        <v>542</v>
      </c>
      <c r="L103">
        <v>1339</v>
      </c>
      <c r="N103">
        <v>1007</v>
      </c>
      <c r="O103" t="s">
        <v>140</v>
      </c>
      <c r="P103" t="s">
        <v>140</v>
      </c>
      <c r="Q103">
        <v>1</v>
      </c>
      <c r="X103">
        <v>15.72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15.72</v>
      </c>
      <c r="AH103">
        <v>2</v>
      </c>
      <c r="AI103">
        <v>42255083</v>
      </c>
      <c r="AJ103">
        <v>104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ROW(Source!A164)</f>
        <v>164</v>
      </c>
      <c r="B104">
        <v>42255093</v>
      </c>
      <c r="C104">
        <v>42255076</v>
      </c>
      <c r="D104">
        <v>36805273</v>
      </c>
      <c r="E104">
        <v>1</v>
      </c>
      <c r="F104">
        <v>1</v>
      </c>
      <c r="G104">
        <v>1</v>
      </c>
      <c r="H104">
        <v>3</v>
      </c>
      <c r="I104" t="s">
        <v>609</v>
      </c>
      <c r="J104" t="s">
        <v>610</v>
      </c>
      <c r="K104" t="s">
        <v>611</v>
      </c>
      <c r="L104">
        <v>1346</v>
      </c>
      <c r="N104">
        <v>1009</v>
      </c>
      <c r="O104" t="s">
        <v>386</v>
      </c>
      <c r="P104" t="s">
        <v>386</v>
      </c>
      <c r="Q104">
        <v>1</v>
      </c>
      <c r="X104">
        <v>68</v>
      </c>
      <c r="Y104">
        <v>26.3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68</v>
      </c>
      <c r="AH104">
        <v>2</v>
      </c>
      <c r="AI104">
        <v>42255084</v>
      </c>
      <c r="AJ104">
        <v>105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ROW(Source!A164)</f>
        <v>164</v>
      </c>
      <c r="B105">
        <v>42255094</v>
      </c>
      <c r="C105">
        <v>42255076</v>
      </c>
      <c r="D105">
        <v>36797942</v>
      </c>
      <c r="E105">
        <v>17</v>
      </c>
      <c r="F105">
        <v>1</v>
      </c>
      <c r="G105">
        <v>1</v>
      </c>
      <c r="H105">
        <v>3</v>
      </c>
      <c r="I105" t="s">
        <v>719</v>
      </c>
      <c r="K105" t="s">
        <v>720</v>
      </c>
      <c r="L105">
        <v>1339</v>
      </c>
      <c r="N105">
        <v>1007</v>
      </c>
      <c r="O105" t="s">
        <v>140</v>
      </c>
      <c r="P105" t="s">
        <v>140</v>
      </c>
      <c r="Q105">
        <v>1</v>
      </c>
      <c r="X105">
        <v>0.66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G105">
        <v>0.66</v>
      </c>
      <c r="AH105">
        <v>3</v>
      </c>
      <c r="AI105">
        <v>-1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ROW(Source!A164)</f>
        <v>164</v>
      </c>
      <c r="B106">
        <v>42255095</v>
      </c>
      <c r="C106">
        <v>42255076</v>
      </c>
      <c r="D106">
        <v>36830315</v>
      </c>
      <c r="E106">
        <v>1</v>
      </c>
      <c r="F106">
        <v>1</v>
      </c>
      <c r="G106">
        <v>1</v>
      </c>
      <c r="H106">
        <v>3</v>
      </c>
      <c r="I106" t="s">
        <v>578</v>
      </c>
      <c r="J106" t="s">
        <v>579</v>
      </c>
      <c r="K106" t="s">
        <v>580</v>
      </c>
      <c r="L106">
        <v>1339</v>
      </c>
      <c r="N106">
        <v>1007</v>
      </c>
      <c r="O106" t="s">
        <v>140</v>
      </c>
      <c r="P106" t="s">
        <v>140</v>
      </c>
      <c r="Q106">
        <v>1</v>
      </c>
      <c r="X106">
        <v>0.06</v>
      </c>
      <c r="Y106">
        <v>1287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0.06</v>
      </c>
      <c r="AH106">
        <v>2</v>
      </c>
      <c r="AI106">
        <v>42255085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ROW(Source!A164)</f>
        <v>164</v>
      </c>
      <c r="B107">
        <v>42255096</v>
      </c>
      <c r="C107">
        <v>42255076</v>
      </c>
      <c r="D107">
        <v>36797947</v>
      </c>
      <c r="E107">
        <v>17</v>
      </c>
      <c r="F107">
        <v>1</v>
      </c>
      <c r="G107">
        <v>1</v>
      </c>
      <c r="H107">
        <v>3</v>
      </c>
      <c r="I107" t="s">
        <v>721</v>
      </c>
      <c r="K107" t="s">
        <v>722</v>
      </c>
      <c r="L107">
        <v>1348</v>
      </c>
      <c r="N107">
        <v>1009</v>
      </c>
      <c r="O107" t="s">
        <v>246</v>
      </c>
      <c r="P107" t="s">
        <v>246</v>
      </c>
      <c r="Q107">
        <v>1000</v>
      </c>
      <c r="X107">
        <v>1.37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G107">
        <v>1.37</v>
      </c>
      <c r="AH107">
        <v>3</v>
      </c>
      <c r="AI107">
        <v>-1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ROW(Source!A164)</f>
        <v>164</v>
      </c>
      <c r="B108">
        <v>42255097</v>
      </c>
      <c r="C108">
        <v>42255076</v>
      </c>
      <c r="D108">
        <v>36797939</v>
      </c>
      <c r="E108">
        <v>17</v>
      </c>
      <c r="F108">
        <v>1</v>
      </c>
      <c r="G108">
        <v>1</v>
      </c>
      <c r="H108">
        <v>3</v>
      </c>
      <c r="I108" t="s">
        <v>723</v>
      </c>
      <c r="K108" t="s">
        <v>724</v>
      </c>
      <c r="L108">
        <v>1301</v>
      </c>
      <c r="N108">
        <v>1003</v>
      </c>
      <c r="O108" t="s">
        <v>241</v>
      </c>
      <c r="P108" t="s">
        <v>241</v>
      </c>
      <c r="Q108">
        <v>1</v>
      </c>
      <c r="X108">
        <v>1008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G108">
        <v>1008</v>
      </c>
      <c r="AH108">
        <v>3</v>
      </c>
      <c r="AI108">
        <v>-1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ROW(Source!A166)</f>
        <v>166</v>
      </c>
      <c r="B109">
        <v>42255107</v>
      </c>
      <c r="C109">
        <v>42255099</v>
      </c>
      <c r="D109">
        <v>37071037</v>
      </c>
      <c r="E109">
        <v>1</v>
      </c>
      <c r="F109">
        <v>1</v>
      </c>
      <c r="G109">
        <v>1</v>
      </c>
      <c r="H109">
        <v>1</v>
      </c>
      <c r="I109" t="s">
        <v>493</v>
      </c>
      <c r="K109" t="s">
        <v>494</v>
      </c>
      <c r="L109">
        <v>1191</v>
      </c>
      <c r="N109">
        <v>1013</v>
      </c>
      <c r="O109" t="s">
        <v>462</v>
      </c>
      <c r="P109" t="s">
        <v>462</v>
      </c>
      <c r="Q109">
        <v>1</v>
      </c>
      <c r="X109">
        <v>46.33</v>
      </c>
      <c r="Y109">
        <v>0</v>
      </c>
      <c r="Z109">
        <v>0</v>
      </c>
      <c r="AA109">
        <v>0</v>
      </c>
      <c r="AB109">
        <v>9.62</v>
      </c>
      <c r="AC109">
        <v>0</v>
      </c>
      <c r="AD109">
        <v>1</v>
      </c>
      <c r="AE109">
        <v>1</v>
      </c>
      <c r="AG109">
        <v>46.33</v>
      </c>
      <c r="AH109">
        <v>2</v>
      </c>
      <c r="AI109">
        <v>42255100</v>
      </c>
      <c r="AJ109">
        <v>107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ROW(Source!A166)</f>
        <v>166</v>
      </c>
      <c r="B110">
        <v>42255108</v>
      </c>
      <c r="C110">
        <v>42255099</v>
      </c>
      <c r="D110">
        <v>37064876</v>
      </c>
      <c r="E110">
        <v>1</v>
      </c>
      <c r="F110">
        <v>1</v>
      </c>
      <c r="G110">
        <v>1</v>
      </c>
      <c r="H110">
        <v>1</v>
      </c>
      <c r="I110" t="s">
        <v>465</v>
      </c>
      <c r="K110" t="s">
        <v>466</v>
      </c>
      <c r="L110">
        <v>1191</v>
      </c>
      <c r="N110">
        <v>1013</v>
      </c>
      <c r="O110" t="s">
        <v>462</v>
      </c>
      <c r="P110" t="s">
        <v>462</v>
      </c>
      <c r="Q110">
        <v>1</v>
      </c>
      <c r="X110">
        <v>4.38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2</v>
      </c>
      <c r="AG110">
        <v>4.38</v>
      </c>
      <c r="AH110">
        <v>2</v>
      </c>
      <c r="AI110">
        <v>42255101</v>
      </c>
      <c r="AJ110">
        <v>108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ROW(Source!A166)</f>
        <v>166</v>
      </c>
      <c r="B111">
        <v>42255109</v>
      </c>
      <c r="C111">
        <v>42255099</v>
      </c>
      <c r="D111">
        <v>36882159</v>
      </c>
      <c r="E111">
        <v>1</v>
      </c>
      <c r="F111">
        <v>1</v>
      </c>
      <c r="G111">
        <v>1</v>
      </c>
      <c r="H111">
        <v>2</v>
      </c>
      <c r="I111" t="s">
        <v>495</v>
      </c>
      <c r="J111" t="s">
        <v>496</v>
      </c>
      <c r="K111" t="s">
        <v>497</v>
      </c>
      <c r="L111">
        <v>1368</v>
      </c>
      <c r="N111">
        <v>1011</v>
      </c>
      <c r="O111" t="s">
        <v>470</v>
      </c>
      <c r="P111" t="s">
        <v>470</v>
      </c>
      <c r="Q111">
        <v>1</v>
      </c>
      <c r="X111">
        <v>1.75</v>
      </c>
      <c r="Y111">
        <v>0</v>
      </c>
      <c r="Z111">
        <v>111.99</v>
      </c>
      <c r="AA111">
        <v>13.5</v>
      </c>
      <c r="AB111">
        <v>0</v>
      </c>
      <c r="AC111">
        <v>0</v>
      </c>
      <c r="AD111">
        <v>1</v>
      </c>
      <c r="AE111">
        <v>0</v>
      </c>
      <c r="AG111">
        <v>1.75</v>
      </c>
      <c r="AH111">
        <v>2</v>
      </c>
      <c r="AI111">
        <v>42255102</v>
      </c>
      <c r="AJ111">
        <v>109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ROW(Source!A166)</f>
        <v>166</v>
      </c>
      <c r="B112">
        <v>42255110</v>
      </c>
      <c r="C112">
        <v>42255099</v>
      </c>
      <c r="D112">
        <v>36883554</v>
      </c>
      <c r="E112">
        <v>1</v>
      </c>
      <c r="F112">
        <v>1</v>
      </c>
      <c r="G112">
        <v>1</v>
      </c>
      <c r="H112">
        <v>2</v>
      </c>
      <c r="I112" t="s">
        <v>498</v>
      </c>
      <c r="J112" t="s">
        <v>499</v>
      </c>
      <c r="K112" t="s">
        <v>500</v>
      </c>
      <c r="L112">
        <v>1368</v>
      </c>
      <c r="N112">
        <v>1011</v>
      </c>
      <c r="O112" t="s">
        <v>470</v>
      </c>
      <c r="P112" t="s">
        <v>470</v>
      </c>
      <c r="Q112">
        <v>1</v>
      </c>
      <c r="X112">
        <v>2.63</v>
      </c>
      <c r="Y112">
        <v>0</v>
      </c>
      <c r="Z112">
        <v>65.71</v>
      </c>
      <c r="AA112">
        <v>11.6</v>
      </c>
      <c r="AB112">
        <v>0</v>
      </c>
      <c r="AC112">
        <v>0</v>
      </c>
      <c r="AD112">
        <v>1</v>
      </c>
      <c r="AE112">
        <v>0</v>
      </c>
      <c r="AG112">
        <v>2.63</v>
      </c>
      <c r="AH112">
        <v>2</v>
      </c>
      <c r="AI112">
        <v>42255103</v>
      </c>
      <c r="AJ112">
        <v>110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ROW(Source!A166)</f>
        <v>166</v>
      </c>
      <c r="B113">
        <v>42255111</v>
      </c>
      <c r="C113">
        <v>42255099</v>
      </c>
      <c r="D113">
        <v>36883858</v>
      </c>
      <c r="E113">
        <v>1</v>
      </c>
      <c r="F113">
        <v>1</v>
      </c>
      <c r="G113">
        <v>1</v>
      </c>
      <c r="H113">
        <v>2</v>
      </c>
      <c r="I113" t="s">
        <v>501</v>
      </c>
      <c r="J113" t="s">
        <v>502</v>
      </c>
      <c r="K113" t="s">
        <v>503</v>
      </c>
      <c r="L113">
        <v>1368</v>
      </c>
      <c r="N113">
        <v>1011</v>
      </c>
      <c r="O113" t="s">
        <v>470</v>
      </c>
      <c r="P113" t="s">
        <v>470</v>
      </c>
      <c r="Q113">
        <v>1</v>
      </c>
      <c r="X113">
        <v>8.82</v>
      </c>
      <c r="Y113">
        <v>0</v>
      </c>
      <c r="Z113">
        <v>8.1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8.82</v>
      </c>
      <c r="AH113">
        <v>2</v>
      </c>
      <c r="AI113">
        <v>42255104</v>
      </c>
      <c r="AJ113">
        <v>111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ROW(Source!A166)</f>
        <v>166</v>
      </c>
      <c r="B114">
        <v>42255112</v>
      </c>
      <c r="C114">
        <v>42255099</v>
      </c>
      <c r="D114">
        <v>36803256</v>
      </c>
      <c r="E114">
        <v>1</v>
      </c>
      <c r="F114">
        <v>1</v>
      </c>
      <c r="G114">
        <v>1</v>
      </c>
      <c r="H114">
        <v>3</v>
      </c>
      <c r="I114" t="s">
        <v>598</v>
      </c>
      <c r="J114" t="s">
        <v>599</v>
      </c>
      <c r="K114" t="s">
        <v>600</v>
      </c>
      <c r="L114">
        <v>1348</v>
      </c>
      <c r="N114">
        <v>1009</v>
      </c>
      <c r="O114" t="s">
        <v>246</v>
      </c>
      <c r="P114" t="s">
        <v>246</v>
      </c>
      <c r="Q114">
        <v>1000</v>
      </c>
      <c r="X114">
        <v>0.007</v>
      </c>
      <c r="Y114">
        <v>10315.01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0.007</v>
      </c>
      <c r="AH114">
        <v>2</v>
      </c>
      <c r="AI114">
        <v>42255105</v>
      </c>
      <c r="AJ114">
        <v>112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ROW(Source!A166)</f>
        <v>166</v>
      </c>
      <c r="B115">
        <v>42255113</v>
      </c>
      <c r="C115">
        <v>42255099</v>
      </c>
      <c r="D115">
        <v>36796332</v>
      </c>
      <c r="E115">
        <v>17</v>
      </c>
      <c r="F115">
        <v>1</v>
      </c>
      <c r="G115">
        <v>1</v>
      </c>
      <c r="H115">
        <v>3</v>
      </c>
      <c r="I115" t="s">
        <v>725</v>
      </c>
      <c r="K115" t="s">
        <v>726</v>
      </c>
      <c r="L115">
        <v>1348</v>
      </c>
      <c r="N115">
        <v>1009</v>
      </c>
      <c r="O115" t="s">
        <v>246</v>
      </c>
      <c r="P115" t="s">
        <v>246</v>
      </c>
      <c r="Q115">
        <v>1000</v>
      </c>
      <c r="X115">
        <v>1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G115">
        <v>1</v>
      </c>
      <c r="AH115">
        <v>3</v>
      </c>
      <c r="AI115">
        <v>-1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ROW(Source!A168)</f>
        <v>168</v>
      </c>
      <c r="B116">
        <v>42255122</v>
      </c>
      <c r="C116">
        <v>42255115</v>
      </c>
      <c r="D116">
        <v>37064978</v>
      </c>
      <c r="E116">
        <v>1</v>
      </c>
      <c r="F116">
        <v>1</v>
      </c>
      <c r="G116">
        <v>1</v>
      </c>
      <c r="H116">
        <v>1</v>
      </c>
      <c r="I116" t="s">
        <v>612</v>
      </c>
      <c r="K116" t="s">
        <v>613</v>
      </c>
      <c r="L116">
        <v>1191</v>
      </c>
      <c r="N116">
        <v>1013</v>
      </c>
      <c r="O116" t="s">
        <v>462</v>
      </c>
      <c r="P116" t="s">
        <v>462</v>
      </c>
      <c r="Q116">
        <v>1</v>
      </c>
      <c r="X116">
        <v>12.64</v>
      </c>
      <c r="Y116">
        <v>0</v>
      </c>
      <c r="Z116">
        <v>0</v>
      </c>
      <c r="AA116">
        <v>0</v>
      </c>
      <c r="AB116">
        <v>8.86</v>
      </c>
      <c r="AC116">
        <v>0</v>
      </c>
      <c r="AD116">
        <v>1</v>
      </c>
      <c r="AE116">
        <v>1</v>
      </c>
      <c r="AG116">
        <v>12.64</v>
      </c>
      <c r="AH116">
        <v>2</v>
      </c>
      <c r="AI116">
        <v>42255116</v>
      </c>
      <c r="AJ116">
        <v>114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ROW(Source!A168)</f>
        <v>168</v>
      </c>
      <c r="B117">
        <v>42255123</v>
      </c>
      <c r="C117">
        <v>42255115</v>
      </c>
      <c r="D117">
        <v>37064876</v>
      </c>
      <c r="E117">
        <v>1</v>
      </c>
      <c r="F117">
        <v>1</v>
      </c>
      <c r="G117">
        <v>1</v>
      </c>
      <c r="H117">
        <v>1</v>
      </c>
      <c r="I117" t="s">
        <v>465</v>
      </c>
      <c r="K117" t="s">
        <v>466</v>
      </c>
      <c r="L117">
        <v>1191</v>
      </c>
      <c r="N117">
        <v>1013</v>
      </c>
      <c r="O117" t="s">
        <v>462</v>
      </c>
      <c r="P117" t="s">
        <v>462</v>
      </c>
      <c r="Q117">
        <v>1</v>
      </c>
      <c r="X117">
        <v>0.38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2</v>
      </c>
      <c r="AG117">
        <v>0.38</v>
      </c>
      <c r="AH117">
        <v>2</v>
      </c>
      <c r="AI117">
        <v>42255117</v>
      </c>
      <c r="AJ117">
        <v>115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ROW(Source!A168)</f>
        <v>168</v>
      </c>
      <c r="B118">
        <v>42255124</v>
      </c>
      <c r="C118">
        <v>42255115</v>
      </c>
      <c r="D118">
        <v>36882159</v>
      </c>
      <c r="E118">
        <v>1</v>
      </c>
      <c r="F118">
        <v>1</v>
      </c>
      <c r="G118">
        <v>1</v>
      </c>
      <c r="H118">
        <v>2</v>
      </c>
      <c r="I118" t="s">
        <v>495</v>
      </c>
      <c r="J118" t="s">
        <v>496</v>
      </c>
      <c r="K118" t="s">
        <v>497</v>
      </c>
      <c r="L118">
        <v>1368</v>
      </c>
      <c r="N118">
        <v>1011</v>
      </c>
      <c r="O118" t="s">
        <v>470</v>
      </c>
      <c r="P118" t="s">
        <v>470</v>
      </c>
      <c r="Q118">
        <v>1</v>
      </c>
      <c r="X118">
        <v>0.16</v>
      </c>
      <c r="Y118">
        <v>0</v>
      </c>
      <c r="Z118">
        <v>111.99</v>
      </c>
      <c r="AA118">
        <v>13.5</v>
      </c>
      <c r="AB118">
        <v>0</v>
      </c>
      <c r="AC118">
        <v>0</v>
      </c>
      <c r="AD118">
        <v>1</v>
      </c>
      <c r="AE118">
        <v>0</v>
      </c>
      <c r="AG118">
        <v>0.16</v>
      </c>
      <c r="AH118">
        <v>2</v>
      </c>
      <c r="AI118">
        <v>42255118</v>
      </c>
      <c r="AJ118">
        <v>116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ROW(Source!A168)</f>
        <v>168</v>
      </c>
      <c r="B119">
        <v>42255125</v>
      </c>
      <c r="C119">
        <v>42255115</v>
      </c>
      <c r="D119">
        <v>36883554</v>
      </c>
      <c r="E119">
        <v>1</v>
      </c>
      <c r="F119">
        <v>1</v>
      </c>
      <c r="G119">
        <v>1</v>
      </c>
      <c r="H119">
        <v>2</v>
      </c>
      <c r="I119" t="s">
        <v>498</v>
      </c>
      <c r="J119" t="s">
        <v>499</v>
      </c>
      <c r="K119" t="s">
        <v>500</v>
      </c>
      <c r="L119">
        <v>1368</v>
      </c>
      <c r="N119">
        <v>1011</v>
      </c>
      <c r="O119" t="s">
        <v>470</v>
      </c>
      <c r="P119" t="s">
        <v>470</v>
      </c>
      <c r="Q119">
        <v>1</v>
      </c>
      <c r="X119">
        <v>0.22</v>
      </c>
      <c r="Y119">
        <v>0</v>
      </c>
      <c r="Z119">
        <v>65.71</v>
      </c>
      <c r="AA119">
        <v>11.6</v>
      </c>
      <c r="AB119">
        <v>0</v>
      </c>
      <c r="AC119">
        <v>0</v>
      </c>
      <c r="AD119">
        <v>1</v>
      </c>
      <c r="AE119">
        <v>0</v>
      </c>
      <c r="AG119">
        <v>0.22</v>
      </c>
      <c r="AH119">
        <v>2</v>
      </c>
      <c r="AI119">
        <v>42255119</v>
      </c>
      <c r="AJ119">
        <v>117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ROW(Source!A168)</f>
        <v>168</v>
      </c>
      <c r="B120">
        <v>42255126</v>
      </c>
      <c r="C120">
        <v>42255115</v>
      </c>
      <c r="D120">
        <v>36825608</v>
      </c>
      <c r="E120">
        <v>1</v>
      </c>
      <c r="F120">
        <v>1</v>
      </c>
      <c r="G120">
        <v>1</v>
      </c>
      <c r="H120">
        <v>3</v>
      </c>
      <c r="I120" t="s">
        <v>572</v>
      </c>
      <c r="J120" t="s">
        <v>573</v>
      </c>
      <c r="K120" t="s">
        <v>574</v>
      </c>
      <c r="L120">
        <v>1348</v>
      </c>
      <c r="N120">
        <v>1009</v>
      </c>
      <c r="O120" t="s">
        <v>246</v>
      </c>
      <c r="P120" t="s">
        <v>246</v>
      </c>
      <c r="Q120">
        <v>1000</v>
      </c>
      <c r="X120">
        <v>0.028</v>
      </c>
      <c r="Y120">
        <v>10200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0.028</v>
      </c>
      <c r="AH120">
        <v>2</v>
      </c>
      <c r="AI120">
        <v>42255120</v>
      </c>
      <c r="AJ120">
        <v>118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ROW(Source!A168)</f>
        <v>168</v>
      </c>
      <c r="B121">
        <v>42255127</v>
      </c>
      <c r="C121">
        <v>42255115</v>
      </c>
      <c r="D121">
        <v>36796448</v>
      </c>
      <c r="E121">
        <v>17</v>
      </c>
      <c r="F121">
        <v>1</v>
      </c>
      <c r="G121">
        <v>1</v>
      </c>
      <c r="H121">
        <v>3</v>
      </c>
      <c r="I121" t="s">
        <v>715</v>
      </c>
      <c r="K121" t="s">
        <v>716</v>
      </c>
      <c r="L121">
        <v>1348</v>
      </c>
      <c r="N121">
        <v>1009</v>
      </c>
      <c r="O121" t="s">
        <v>246</v>
      </c>
      <c r="P121" t="s">
        <v>246</v>
      </c>
      <c r="Q121">
        <v>1000</v>
      </c>
      <c r="X121">
        <v>1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G121">
        <v>1</v>
      </c>
      <c r="AH121">
        <v>3</v>
      </c>
      <c r="AI121">
        <v>-1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ROW(Source!A170)</f>
        <v>170</v>
      </c>
      <c r="B122">
        <v>42255145</v>
      </c>
      <c r="C122">
        <v>42255129</v>
      </c>
      <c r="D122">
        <v>37072887</v>
      </c>
      <c r="E122">
        <v>1</v>
      </c>
      <c r="F122">
        <v>1</v>
      </c>
      <c r="G122">
        <v>1</v>
      </c>
      <c r="H122">
        <v>1</v>
      </c>
      <c r="I122" t="s">
        <v>614</v>
      </c>
      <c r="K122" t="s">
        <v>615</v>
      </c>
      <c r="L122">
        <v>1191</v>
      </c>
      <c r="N122">
        <v>1013</v>
      </c>
      <c r="O122" t="s">
        <v>462</v>
      </c>
      <c r="P122" t="s">
        <v>462</v>
      </c>
      <c r="Q122">
        <v>1</v>
      </c>
      <c r="X122">
        <v>153.18</v>
      </c>
      <c r="Y122">
        <v>0</v>
      </c>
      <c r="Z122">
        <v>0</v>
      </c>
      <c r="AA122">
        <v>0</v>
      </c>
      <c r="AB122">
        <v>10.21</v>
      </c>
      <c r="AC122">
        <v>0</v>
      </c>
      <c r="AD122">
        <v>1</v>
      </c>
      <c r="AE122">
        <v>1</v>
      </c>
      <c r="AG122">
        <v>153.18</v>
      </c>
      <c r="AH122">
        <v>2</v>
      </c>
      <c r="AI122">
        <v>42255130</v>
      </c>
      <c r="AJ122">
        <v>120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ROW(Source!A170)</f>
        <v>170</v>
      </c>
      <c r="B123">
        <v>42255146</v>
      </c>
      <c r="C123">
        <v>42255129</v>
      </c>
      <c r="D123">
        <v>37064876</v>
      </c>
      <c r="E123">
        <v>1</v>
      </c>
      <c r="F123">
        <v>1</v>
      </c>
      <c r="G123">
        <v>1</v>
      </c>
      <c r="H123">
        <v>1</v>
      </c>
      <c r="I123" t="s">
        <v>465</v>
      </c>
      <c r="K123" t="s">
        <v>466</v>
      </c>
      <c r="L123">
        <v>1191</v>
      </c>
      <c r="N123">
        <v>1013</v>
      </c>
      <c r="O123" t="s">
        <v>462</v>
      </c>
      <c r="P123" t="s">
        <v>462</v>
      </c>
      <c r="Q123">
        <v>1</v>
      </c>
      <c r="X123">
        <v>5.16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2</v>
      </c>
      <c r="AG123">
        <v>5.16</v>
      </c>
      <c r="AH123">
        <v>2</v>
      </c>
      <c r="AI123">
        <v>42255131</v>
      </c>
      <c r="AJ123">
        <v>121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ROW(Source!A170)</f>
        <v>170</v>
      </c>
      <c r="B124">
        <v>42255147</v>
      </c>
      <c r="C124">
        <v>42255129</v>
      </c>
      <c r="D124">
        <v>36882452</v>
      </c>
      <c r="E124">
        <v>1</v>
      </c>
      <c r="F124">
        <v>1</v>
      </c>
      <c r="G124">
        <v>1</v>
      </c>
      <c r="H124">
        <v>2</v>
      </c>
      <c r="I124" t="s">
        <v>616</v>
      </c>
      <c r="J124" t="s">
        <v>617</v>
      </c>
      <c r="K124" t="s">
        <v>618</v>
      </c>
      <c r="L124">
        <v>1368</v>
      </c>
      <c r="N124">
        <v>1011</v>
      </c>
      <c r="O124" t="s">
        <v>470</v>
      </c>
      <c r="P124" t="s">
        <v>470</v>
      </c>
      <c r="Q124">
        <v>1</v>
      </c>
      <c r="X124">
        <v>0.11</v>
      </c>
      <c r="Y124">
        <v>0</v>
      </c>
      <c r="Z124">
        <v>31.26</v>
      </c>
      <c r="AA124">
        <v>13.5</v>
      </c>
      <c r="AB124">
        <v>0</v>
      </c>
      <c r="AC124">
        <v>0</v>
      </c>
      <c r="AD124">
        <v>1</v>
      </c>
      <c r="AE124">
        <v>0</v>
      </c>
      <c r="AG124">
        <v>0.11</v>
      </c>
      <c r="AH124">
        <v>2</v>
      </c>
      <c r="AI124">
        <v>42255132</v>
      </c>
      <c r="AJ124">
        <v>122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ROW(Source!A170)</f>
        <v>170</v>
      </c>
      <c r="B125">
        <v>42255148</v>
      </c>
      <c r="C125">
        <v>42255129</v>
      </c>
      <c r="D125">
        <v>36883554</v>
      </c>
      <c r="E125">
        <v>1</v>
      </c>
      <c r="F125">
        <v>1</v>
      </c>
      <c r="G125">
        <v>1</v>
      </c>
      <c r="H125">
        <v>2</v>
      </c>
      <c r="I125" t="s">
        <v>498</v>
      </c>
      <c r="J125" t="s">
        <v>499</v>
      </c>
      <c r="K125" t="s">
        <v>500</v>
      </c>
      <c r="L125">
        <v>1368</v>
      </c>
      <c r="N125">
        <v>1011</v>
      </c>
      <c r="O125" t="s">
        <v>470</v>
      </c>
      <c r="P125" t="s">
        <v>470</v>
      </c>
      <c r="Q125">
        <v>1</v>
      </c>
      <c r="X125">
        <v>0.25</v>
      </c>
      <c r="Y125">
        <v>0</v>
      </c>
      <c r="Z125">
        <v>65.71</v>
      </c>
      <c r="AA125">
        <v>11.6</v>
      </c>
      <c r="AB125">
        <v>0</v>
      </c>
      <c r="AC125">
        <v>0</v>
      </c>
      <c r="AD125">
        <v>1</v>
      </c>
      <c r="AE125">
        <v>0</v>
      </c>
      <c r="AG125">
        <v>0.25</v>
      </c>
      <c r="AH125">
        <v>2</v>
      </c>
      <c r="AI125">
        <v>42255133</v>
      </c>
      <c r="AJ125">
        <v>123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ROW(Source!A170)</f>
        <v>170</v>
      </c>
      <c r="B126">
        <v>42255149</v>
      </c>
      <c r="C126">
        <v>42255129</v>
      </c>
      <c r="D126">
        <v>36884709</v>
      </c>
      <c r="E126">
        <v>1</v>
      </c>
      <c r="F126">
        <v>1</v>
      </c>
      <c r="G126">
        <v>1</v>
      </c>
      <c r="H126">
        <v>2</v>
      </c>
      <c r="I126" t="s">
        <v>619</v>
      </c>
      <c r="J126" t="s">
        <v>620</v>
      </c>
      <c r="K126" t="s">
        <v>621</v>
      </c>
      <c r="L126">
        <v>1368</v>
      </c>
      <c r="N126">
        <v>1011</v>
      </c>
      <c r="O126" t="s">
        <v>470</v>
      </c>
      <c r="P126" t="s">
        <v>470</v>
      </c>
      <c r="Q126">
        <v>1</v>
      </c>
      <c r="X126">
        <v>2.5</v>
      </c>
      <c r="Y126">
        <v>0</v>
      </c>
      <c r="Z126">
        <v>2.7</v>
      </c>
      <c r="AA126">
        <v>0</v>
      </c>
      <c r="AB126">
        <v>0</v>
      </c>
      <c r="AC126">
        <v>0</v>
      </c>
      <c r="AD126">
        <v>1</v>
      </c>
      <c r="AE126">
        <v>0</v>
      </c>
      <c r="AG126">
        <v>2.5</v>
      </c>
      <c r="AH126">
        <v>2</v>
      </c>
      <c r="AI126">
        <v>42255134</v>
      </c>
      <c r="AJ126">
        <v>124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ROW(Source!A170)</f>
        <v>170</v>
      </c>
      <c r="B127">
        <v>42255150</v>
      </c>
      <c r="C127">
        <v>42255129</v>
      </c>
      <c r="D127">
        <v>36884731</v>
      </c>
      <c r="E127">
        <v>1</v>
      </c>
      <c r="F127">
        <v>1</v>
      </c>
      <c r="G127">
        <v>1</v>
      </c>
      <c r="H127">
        <v>2</v>
      </c>
      <c r="I127" t="s">
        <v>622</v>
      </c>
      <c r="J127" t="s">
        <v>623</v>
      </c>
      <c r="K127" t="s">
        <v>624</v>
      </c>
      <c r="L127">
        <v>1368</v>
      </c>
      <c r="N127">
        <v>1011</v>
      </c>
      <c r="O127" t="s">
        <v>470</v>
      </c>
      <c r="P127" t="s">
        <v>470</v>
      </c>
      <c r="Q127">
        <v>1</v>
      </c>
      <c r="X127">
        <v>4.8</v>
      </c>
      <c r="Y127">
        <v>0</v>
      </c>
      <c r="Z127">
        <v>10.96</v>
      </c>
      <c r="AA127">
        <v>10.06</v>
      </c>
      <c r="AB127">
        <v>0</v>
      </c>
      <c r="AC127">
        <v>0</v>
      </c>
      <c r="AD127">
        <v>1</v>
      </c>
      <c r="AE127">
        <v>0</v>
      </c>
      <c r="AG127">
        <v>4.8</v>
      </c>
      <c r="AH127">
        <v>2</v>
      </c>
      <c r="AI127">
        <v>42255135</v>
      </c>
      <c r="AJ127">
        <v>125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ROW(Source!A170)</f>
        <v>170</v>
      </c>
      <c r="B128">
        <v>42255151</v>
      </c>
      <c r="C128">
        <v>42255129</v>
      </c>
      <c r="D128">
        <v>36799925</v>
      </c>
      <c r="E128">
        <v>1</v>
      </c>
      <c r="F128">
        <v>1</v>
      </c>
      <c r="G128">
        <v>1</v>
      </c>
      <c r="H128">
        <v>3</v>
      </c>
      <c r="I128" t="s">
        <v>625</v>
      </c>
      <c r="J128" t="s">
        <v>626</v>
      </c>
      <c r="K128" t="s">
        <v>627</v>
      </c>
      <c r="L128">
        <v>1348</v>
      </c>
      <c r="N128">
        <v>1009</v>
      </c>
      <c r="O128" t="s">
        <v>246</v>
      </c>
      <c r="P128" t="s">
        <v>246</v>
      </c>
      <c r="Q128">
        <v>1000</v>
      </c>
      <c r="X128">
        <v>0.116</v>
      </c>
      <c r="Y128">
        <v>1995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G128">
        <v>0.116</v>
      </c>
      <c r="AH128">
        <v>2</v>
      </c>
      <c r="AI128">
        <v>42255136</v>
      </c>
      <c r="AJ128">
        <v>126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ROW(Source!A170)</f>
        <v>170</v>
      </c>
      <c r="B129">
        <v>42255152</v>
      </c>
      <c r="C129">
        <v>42255129</v>
      </c>
      <c r="D129">
        <v>36800030</v>
      </c>
      <c r="E129">
        <v>1</v>
      </c>
      <c r="F129">
        <v>1</v>
      </c>
      <c r="G129">
        <v>1</v>
      </c>
      <c r="H129">
        <v>3</v>
      </c>
      <c r="I129" t="s">
        <v>628</v>
      </c>
      <c r="J129" t="s">
        <v>629</v>
      </c>
      <c r="K129" t="s">
        <v>630</v>
      </c>
      <c r="L129">
        <v>1348</v>
      </c>
      <c r="N129">
        <v>1009</v>
      </c>
      <c r="O129" t="s">
        <v>246</v>
      </c>
      <c r="P129" t="s">
        <v>246</v>
      </c>
      <c r="Q129">
        <v>1000</v>
      </c>
      <c r="X129">
        <v>0.047</v>
      </c>
      <c r="Y129">
        <v>4488.4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G129">
        <v>0.047</v>
      </c>
      <c r="AH129">
        <v>2</v>
      </c>
      <c r="AI129">
        <v>42255137</v>
      </c>
      <c r="AJ129">
        <v>127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ROW(Source!A170)</f>
        <v>170</v>
      </c>
      <c r="B130">
        <v>42255153</v>
      </c>
      <c r="C130">
        <v>42255129</v>
      </c>
      <c r="D130">
        <v>36802301</v>
      </c>
      <c r="E130">
        <v>1</v>
      </c>
      <c r="F130">
        <v>1</v>
      </c>
      <c r="G130">
        <v>1</v>
      </c>
      <c r="H130">
        <v>3</v>
      </c>
      <c r="I130" t="s">
        <v>631</v>
      </c>
      <c r="J130" t="s">
        <v>632</v>
      </c>
      <c r="K130" t="s">
        <v>633</v>
      </c>
      <c r="L130">
        <v>1348</v>
      </c>
      <c r="N130">
        <v>1009</v>
      </c>
      <c r="O130" t="s">
        <v>246</v>
      </c>
      <c r="P130" t="s">
        <v>246</v>
      </c>
      <c r="Q130">
        <v>1000</v>
      </c>
      <c r="X130">
        <v>0.022</v>
      </c>
      <c r="Y130">
        <v>23500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G130">
        <v>0.022</v>
      </c>
      <c r="AH130">
        <v>2</v>
      </c>
      <c r="AI130">
        <v>42255138</v>
      </c>
      <c r="AJ130">
        <v>128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ROW(Source!A170)</f>
        <v>170</v>
      </c>
      <c r="B131">
        <v>42255154</v>
      </c>
      <c r="C131">
        <v>42255129</v>
      </c>
      <c r="D131">
        <v>36805524</v>
      </c>
      <c r="E131">
        <v>1</v>
      </c>
      <c r="F131">
        <v>1</v>
      </c>
      <c r="G131">
        <v>1</v>
      </c>
      <c r="H131">
        <v>3</v>
      </c>
      <c r="I131" t="s">
        <v>634</v>
      </c>
      <c r="J131" t="s">
        <v>635</v>
      </c>
      <c r="K131" t="s">
        <v>636</v>
      </c>
      <c r="L131">
        <v>1346</v>
      </c>
      <c r="N131">
        <v>1009</v>
      </c>
      <c r="O131" t="s">
        <v>386</v>
      </c>
      <c r="P131" t="s">
        <v>386</v>
      </c>
      <c r="Q131">
        <v>1</v>
      </c>
      <c r="X131">
        <v>1</v>
      </c>
      <c r="Y131">
        <v>1.82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G131">
        <v>1</v>
      </c>
      <c r="AH131">
        <v>2</v>
      </c>
      <c r="AI131">
        <v>42255139</v>
      </c>
      <c r="AJ131">
        <v>129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ROW(Source!A170)</f>
        <v>170</v>
      </c>
      <c r="B132">
        <v>42255155</v>
      </c>
      <c r="C132">
        <v>42255129</v>
      </c>
      <c r="D132">
        <v>36807342</v>
      </c>
      <c r="E132">
        <v>1</v>
      </c>
      <c r="F132">
        <v>1</v>
      </c>
      <c r="G132">
        <v>1</v>
      </c>
      <c r="H132">
        <v>3</v>
      </c>
      <c r="I132" t="s">
        <v>558</v>
      </c>
      <c r="J132" t="s">
        <v>559</v>
      </c>
      <c r="K132" t="s">
        <v>560</v>
      </c>
      <c r="L132">
        <v>1339</v>
      </c>
      <c r="N132">
        <v>1007</v>
      </c>
      <c r="O132" t="s">
        <v>140</v>
      </c>
      <c r="P132" t="s">
        <v>140</v>
      </c>
      <c r="Q132">
        <v>1</v>
      </c>
      <c r="X132">
        <v>0.31</v>
      </c>
      <c r="Y132">
        <v>519.8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0.31</v>
      </c>
      <c r="AH132">
        <v>2</v>
      </c>
      <c r="AI132">
        <v>42255140</v>
      </c>
      <c r="AJ132">
        <v>130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ROW(Source!A170)</f>
        <v>170</v>
      </c>
      <c r="B133">
        <v>42255156</v>
      </c>
      <c r="C133">
        <v>42255129</v>
      </c>
      <c r="D133">
        <v>36832713</v>
      </c>
      <c r="E133">
        <v>1</v>
      </c>
      <c r="F133">
        <v>1</v>
      </c>
      <c r="G133">
        <v>1</v>
      </c>
      <c r="H133">
        <v>3</v>
      </c>
      <c r="I133" t="s">
        <v>637</v>
      </c>
      <c r="J133" t="s">
        <v>638</v>
      </c>
      <c r="K133" t="s">
        <v>639</v>
      </c>
      <c r="L133">
        <v>1327</v>
      </c>
      <c r="N133">
        <v>1005</v>
      </c>
      <c r="O133" t="s">
        <v>552</v>
      </c>
      <c r="P133" t="s">
        <v>552</v>
      </c>
      <c r="Q133">
        <v>1</v>
      </c>
      <c r="X133">
        <v>112</v>
      </c>
      <c r="Y133">
        <v>6.48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G133">
        <v>112</v>
      </c>
      <c r="AH133">
        <v>2</v>
      </c>
      <c r="AI133">
        <v>42255141</v>
      </c>
      <c r="AJ133">
        <v>131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ROW(Source!A170)</f>
        <v>170</v>
      </c>
      <c r="B134">
        <v>42255157</v>
      </c>
      <c r="C134">
        <v>42255129</v>
      </c>
      <c r="D134">
        <v>36837603</v>
      </c>
      <c r="E134">
        <v>1</v>
      </c>
      <c r="F134">
        <v>1</v>
      </c>
      <c r="G134">
        <v>1</v>
      </c>
      <c r="H134">
        <v>3</v>
      </c>
      <c r="I134" t="s">
        <v>640</v>
      </c>
      <c r="J134" t="s">
        <v>641</v>
      </c>
      <c r="K134" t="s">
        <v>642</v>
      </c>
      <c r="L134">
        <v>1348</v>
      </c>
      <c r="N134">
        <v>1009</v>
      </c>
      <c r="O134" t="s">
        <v>246</v>
      </c>
      <c r="P134" t="s">
        <v>246</v>
      </c>
      <c r="Q134">
        <v>1000</v>
      </c>
      <c r="X134">
        <v>0.006</v>
      </c>
      <c r="Y134">
        <v>49244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G134">
        <v>0.006</v>
      </c>
      <c r="AH134">
        <v>2</v>
      </c>
      <c r="AI134">
        <v>42255142</v>
      </c>
      <c r="AJ134">
        <v>132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ROW(Source!A170)</f>
        <v>170</v>
      </c>
      <c r="B135">
        <v>42255158</v>
      </c>
      <c r="C135">
        <v>42255129</v>
      </c>
      <c r="D135">
        <v>36838359</v>
      </c>
      <c r="E135">
        <v>1</v>
      </c>
      <c r="F135">
        <v>1</v>
      </c>
      <c r="G135">
        <v>1</v>
      </c>
      <c r="H135">
        <v>3</v>
      </c>
      <c r="I135" t="s">
        <v>643</v>
      </c>
      <c r="J135" t="s">
        <v>644</v>
      </c>
      <c r="K135" t="s">
        <v>645</v>
      </c>
      <c r="L135">
        <v>1348</v>
      </c>
      <c r="N135">
        <v>1009</v>
      </c>
      <c r="O135" t="s">
        <v>246</v>
      </c>
      <c r="P135" t="s">
        <v>246</v>
      </c>
      <c r="Q135">
        <v>1000</v>
      </c>
      <c r="X135">
        <v>0.05</v>
      </c>
      <c r="Y135">
        <v>9073.9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G135">
        <v>0.05</v>
      </c>
      <c r="AH135">
        <v>2</v>
      </c>
      <c r="AI135">
        <v>42255143</v>
      </c>
      <c r="AJ135">
        <v>133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ROW(Source!A170)</f>
        <v>170</v>
      </c>
      <c r="B136">
        <v>42255159</v>
      </c>
      <c r="C136">
        <v>42255129</v>
      </c>
      <c r="D136">
        <v>36839075</v>
      </c>
      <c r="E136">
        <v>1</v>
      </c>
      <c r="F136">
        <v>1</v>
      </c>
      <c r="G136">
        <v>1</v>
      </c>
      <c r="H136">
        <v>3</v>
      </c>
      <c r="I136" t="s">
        <v>646</v>
      </c>
      <c r="J136" t="s">
        <v>647</v>
      </c>
      <c r="K136" t="s">
        <v>648</v>
      </c>
      <c r="L136">
        <v>1348</v>
      </c>
      <c r="N136">
        <v>1009</v>
      </c>
      <c r="O136" t="s">
        <v>246</v>
      </c>
      <c r="P136" t="s">
        <v>246</v>
      </c>
      <c r="Q136">
        <v>1000</v>
      </c>
      <c r="X136">
        <v>0.0011</v>
      </c>
      <c r="Y136">
        <v>7716.7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G136">
        <v>0.0011</v>
      </c>
      <c r="AH136">
        <v>2</v>
      </c>
      <c r="AI136">
        <v>42255144</v>
      </c>
      <c r="AJ136">
        <v>134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ROW(Source!A171)</f>
        <v>171</v>
      </c>
      <c r="B137">
        <v>42255169</v>
      </c>
      <c r="C137">
        <v>42255160</v>
      </c>
      <c r="D137">
        <v>37070202</v>
      </c>
      <c r="E137">
        <v>1</v>
      </c>
      <c r="F137">
        <v>1</v>
      </c>
      <c r="G137">
        <v>1</v>
      </c>
      <c r="H137">
        <v>1</v>
      </c>
      <c r="I137" t="s">
        <v>649</v>
      </c>
      <c r="K137" t="s">
        <v>650</v>
      </c>
      <c r="L137">
        <v>1191</v>
      </c>
      <c r="N137">
        <v>1013</v>
      </c>
      <c r="O137" t="s">
        <v>462</v>
      </c>
      <c r="P137" t="s">
        <v>462</v>
      </c>
      <c r="Q137">
        <v>1</v>
      </c>
      <c r="X137">
        <v>21.2</v>
      </c>
      <c r="Y137">
        <v>0</v>
      </c>
      <c r="Z137">
        <v>0</v>
      </c>
      <c r="AA137">
        <v>0</v>
      </c>
      <c r="AB137">
        <v>9.51</v>
      </c>
      <c r="AC137">
        <v>0</v>
      </c>
      <c r="AD137">
        <v>1</v>
      </c>
      <c r="AE137">
        <v>1</v>
      </c>
      <c r="AG137">
        <v>21.2</v>
      </c>
      <c r="AH137">
        <v>2</v>
      </c>
      <c r="AI137">
        <v>42255161</v>
      </c>
      <c r="AJ137">
        <v>135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ROW(Source!A171)</f>
        <v>171</v>
      </c>
      <c r="B138">
        <v>42255170</v>
      </c>
      <c r="C138">
        <v>42255160</v>
      </c>
      <c r="D138">
        <v>37064876</v>
      </c>
      <c r="E138">
        <v>1</v>
      </c>
      <c r="F138">
        <v>1</v>
      </c>
      <c r="G138">
        <v>1</v>
      </c>
      <c r="H138">
        <v>1</v>
      </c>
      <c r="I138" t="s">
        <v>465</v>
      </c>
      <c r="K138" t="s">
        <v>466</v>
      </c>
      <c r="L138">
        <v>1191</v>
      </c>
      <c r="N138">
        <v>1013</v>
      </c>
      <c r="O138" t="s">
        <v>462</v>
      </c>
      <c r="P138" t="s">
        <v>462</v>
      </c>
      <c r="Q138">
        <v>1</v>
      </c>
      <c r="X138">
        <v>0.2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2</v>
      </c>
      <c r="AG138">
        <v>0.2</v>
      </c>
      <c r="AH138">
        <v>2</v>
      </c>
      <c r="AI138">
        <v>42255162</v>
      </c>
      <c r="AJ138">
        <v>136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ROW(Source!A171)</f>
        <v>171</v>
      </c>
      <c r="B139">
        <v>42255171</v>
      </c>
      <c r="C139">
        <v>42255160</v>
      </c>
      <c r="D139">
        <v>36882787</v>
      </c>
      <c r="E139">
        <v>1</v>
      </c>
      <c r="F139">
        <v>1</v>
      </c>
      <c r="G139">
        <v>1</v>
      </c>
      <c r="H139">
        <v>2</v>
      </c>
      <c r="I139" t="s">
        <v>651</v>
      </c>
      <c r="J139" t="s">
        <v>652</v>
      </c>
      <c r="K139" t="s">
        <v>653</v>
      </c>
      <c r="L139">
        <v>1368</v>
      </c>
      <c r="N139">
        <v>1011</v>
      </c>
      <c r="O139" t="s">
        <v>470</v>
      </c>
      <c r="P139" t="s">
        <v>470</v>
      </c>
      <c r="Q139">
        <v>1</v>
      </c>
      <c r="X139">
        <v>1.95</v>
      </c>
      <c r="Y139">
        <v>0</v>
      </c>
      <c r="Z139">
        <v>30</v>
      </c>
      <c r="AA139">
        <v>0</v>
      </c>
      <c r="AB139">
        <v>0</v>
      </c>
      <c r="AC139">
        <v>0</v>
      </c>
      <c r="AD139">
        <v>1</v>
      </c>
      <c r="AE139">
        <v>0</v>
      </c>
      <c r="AG139">
        <v>1.95</v>
      </c>
      <c r="AH139">
        <v>2</v>
      </c>
      <c r="AI139">
        <v>42255163</v>
      </c>
      <c r="AJ139">
        <v>137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ROW(Source!A171)</f>
        <v>171</v>
      </c>
      <c r="B140">
        <v>42255172</v>
      </c>
      <c r="C140">
        <v>42255160</v>
      </c>
      <c r="D140">
        <v>36883554</v>
      </c>
      <c r="E140">
        <v>1</v>
      </c>
      <c r="F140">
        <v>1</v>
      </c>
      <c r="G140">
        <v>1</v>
      </c>
      <c r="H140">
        <v>2</v>
      </c>
      <c r="I140" t="s">
        <v>498</v>
      </c>
      <c r="J140" t="s">
        <v>499</v>
      </c>
      <c r="K140" t="s">
        <v>500</v>
      </c>
      <c r="L140">
        <v>1368</v>
      </c>
      <c r="N140">
        <v>1011</v>
      </c>
      <c r="O140" t="s">
        <v>470</v>
      </c>
      <c r="P140" t="s">
        <v>470</v>
      </c>
      <c r="Q140">
        <v>1</v>
      </c>
      <c r="X140">
        <v>0.2</v>
      </c>
      <c r="Y140">
        <v>0</v>
      </c>
      <c r="Z140">
        <v>65.71</v>
      </c>
      <c r="AA140">
        <v>11.6</v>
      </c>
      <c r="AB140">
        <v>0</v>
      </c>
      <c r="AC140">
        <v>0</v>
      </c>
      <c r="AD140">
        <v>1</v>
      </c>
      <c r="AE140">
        <v>0</v>
      </c>
      <c r="AG140">
        <v>0.2</v>
      </c>
      <c r="AH140">
        <v>2</v>
      </c>
      <c r="AI140">
        <v>42255164</v>
      </c>
      <c r="AJ140">
        <v>138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ROW(Source!A171)</f>
        <v>171</v>
      </c>
      <c r="B141">
        <v>42255173</v>
      </c>
      <c r="C141">
        <v>42255160</v>
      </c>
      <c r="D141">
        <v>36799854</v>
      </c>
      <c r="E141">
        <v>1</v>
      </c>
      <c r="F141">
        <v>1</v>
      </c>
      <c r="G141">
        <v>1</v>
      </c>
      <c r="H141">
        <v>3</v>
      </c>
      <c r="I141" t="s">
        <v>654</v>
      </c>
      <c r="J141" t="s">
        <v>655</v>
      </c>
      <c r="K141" t="s">
        <v>656</v>
      </c>
      <c r="L141">
        <v>1348</v>
      </c>
      <c r="N141">
        <v>1009</v>
      </c>
      <c r="O141" t="s">
        <v>246</v>
      </c>
      <c r="P141" t="s">
        <v>246</v>
      </c>
      <c r="Q141">
        <v>1000</v>
      </c>
      <c r="X141">
        <v>0.016</v>
      </c>
      <c r="Y141">
        <v>1383.1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G141">
        <v>0.016</v>
      </c>
      <c r="AH141">
        <v>2</v>
      </c>
      <c r="AI141">
        <v>42255165</v>
      </c>
      <c r="AJ141">
        <v>139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ROW(Source!A171)</f>
        <v>171</v>
      </c>
      <c r="B142">
        <v>42255174</v>
      </c>
      <c r="C142">
        <v>42255160</v>
      </c>
      <c r="D142">
        <v>36799896</v>
      </c>
      <c r="E142">
        <v>1</v>
      </c>
      <c r="F142">
        <v>1</v>
      </c>
      <c r="G142">
        <v>1</v>
      </c>
      <c r="H142">
        <v>3</v>
      </c>
      <c r="I142" t="s">
        <v>657</v>
      </c>
      <c r="J142" t="s">
        <v>658</v>
      </c>
      <c r="K142" t="s">
        <v>659</v>
      </c>
      <c r="L142">
        <v>1348</v>
      </c>
      <c r="N142">
        <v>1009</v>
      </c>
      <c r="O142" t="s">
        <v>246</v>
      </c>
      <c r="P142" t="s">
        <v>246</v>
      </c>
      <c r="Q142">
        <v>1000</v>
      </c>
      <c r="X142">
        <v>0.24</v>
      </c>
      <c r="Y142">
        <v>3390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G142">
        <v>0.24</v>
      </c>
      <c r="AH142">
        <v>2</v>
      </c>
      <c r="AI142">
        <v>42255166</v>
      </c>
      <c r="AJ142">
        <v>140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ROW(Source!A171)</f>
        <v>171</v>
      </c>
      <c r="B143">
        <v>42255175</v>
      </c>
      <c r="C143">
        <v>42255160</v>
      </c>
      <c r="D143">
        <v>36800047</v>
      </c>
      <c r="E143">
        <v>1</v>
      </c>
      <c r="F143">
        <v>1</v>
      </c>
      <c r="G143">
        <v>1</v>
      </c>
      <c r="H143">
        <v>3</v>
      </c>
      <c r="I143" t="s">
        <v>660</v>
      </c>
      <c r="J143" t="s">
        <v>661</v>
      </c>
      <c r="K143" t="s">
        <v>662</v>
      </c>
      <c r="L143">
        <v>1348</v>
      </c>
      <c r="N143">
        <v>1009</v>
      </c>
      <c r="O143" t="s">
        <v>246</v>
      </c>
      <c r="P143" t="s">
        <v>246</v>
      </c>
      <c r="Q143">
        <v>1000</v>
      </c>
      <c r="X143">
        <v>0.024</v>
      </c>
      <c r="Y143">
        <v>2606.9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G143">
        <v>0.024</v>
      </c>
      <c r="AH143">
        <v>2</v>
      </c>
      <c r="AI143">
        <v>42255167</v>
      </c>
      <c r="AJ143">
        <v>141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ROW(Source!A171)</f>
        <v>171</v>
      </c>
      <c r="B144">
        <v>42255176</v>
      </c>
      <c r="C144">
        <v>42255160</v>
      </c>
      <c r="D144">
        <v>36805524</v>
      </c>
      <c r="E144">
        <v>1</v>
      </c>
      <c r="F144">
        <v>1</v>
      </c>
      <c r="G144">
        <v>1</v>
      </c>
      <c r="H144">
        <v>3</v>
      </c>
      <c r="I144" t="s">
        <v>634</v>
      </c>
      <c r="J144" t="s">
        <v>635</v>
      </c>
      <c r="K144" t="s">
        <v>636</v>
      </c>
      <c r="L144">
        <v>1346</v>
      </c>
      <c r="N144">
        <v>1009</v>
      </c>
      <c r="O144" t="s">
        <v>386</v>
      </c>
      <c r="P144" t="s">
        <v>386</v>
      </c>
      <c r="Q144">
        <v>1</v>
      </c>
      <c r="X144">
        <v>0.1</v>
      </c>
      <c r="Y144">
        <v>1.82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G144">
        <v>0.1</v>
      </c>
      <c r="AH144">
        <v>2</v>
      </c>
      <c r="AI144">
        <v>42255168</v>
      </c>
      <c r="AJ144">
        <v>142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ROW(Source!A173)</f>
        <v>173</v>
      </c>
      <c r="B145">
        <v>42263694</v>
      </c>
      <c r="C145">
        <v>42263685</v>
      </c>
      <c r="D145">
        <v>37064998</v>
      </c>
      <c r="E145">
        <v>1</v>
      </c>
      <c r="F145">
        <v>1</v>
      </c>
      <c r="G145">
        <v>1</v>
      </c>
      <c r="H145">
        <v>1</v>
      </c>
      <c r="I145" t="s">
        <v>463</v>
      </c>
      <c r="K145" t="s">
        <v>464</v>
      </c>
      <c r="L145">
        <v>1191</v>
      </c>
      <c r="N145">
        <v>1013</v>
      </c>
      <c r="O145" t="s">
        <v>462</v>
      </c>
      <c r="P145" t="s">
        <v>462</v>
      </c>
      <c r="Q145">
        <v>1</v>
      </c>
      <c r="X145">
        <v>180</v>
      </c>
      <c r="Y145">
        <v>0</v>
      </c>
      <c r="Z145">
        <v>0</v>
      </c>
      <c r="AA145">
        <v>0</v>
      </c>
      <c r="AB145">
        <v>7.8</v>
      </c>
      <c r="AC145">
        <v>0</v>
      </c>
      <c r="AD145">
        <v>1</v>
      </c>
      <c r="AE145">
        <v>1</v>
      </c>
      <c r="AG145">
        <v>180</v>
      </c>
      <c r="AH145">
        <v>2</v>
      </c>
      <c r="AI145">
        <v>42263686</v>
      </c>
      <c r="AJ145">
        <v>143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ROW(Source!A173)</f>
        <v>173</v>
      </c>
      <c r="B146">
        <v>42263695</v>
      </c>
      <c r="C146">
        <v>42263685</v>
      </c>
      <c r="D146">
        <v>37064876</v>
      </c>
      <c r="E146">
        <v>1</v>
      </c>
      <c r="F146">
        <v>1</v>
      </c>
      <c r="G146">
        <v>1</v>
      </c>
      <c r="H146">
        <v>1</v>
      </c>
      <c r="I146" t="s">
        <v>465</v>
      </c>
      <c r="K146" t="s">
        <v>466</v>
      </c>
      <c r="L146">
        <v>1191</v>
      </c>
      <c r="N146">
        <v>1013</v>
      </c>
      <c r="O146" t="s">
        <v>462</v>
      </c>
      <c r="P146" t="s">
        <v>462</v>
      </c>
      <c r="Q146">
        <v>1</v>
      </c>
      <c r="X146">
        <v>18.13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2</v>
      </c>
      <c r="AG146">
        <v>18.13</v>
      </c>
      <c r="AH146">
        <v>2</v>
      </c>
      <c r="AI146">
        <v>42263687</v>
      </c>
      <c r="AJ146">
        <v>144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ROW(Source!A173)</f>
        <v>173</v>
      </c>
      <c r="B147">
        <v>42263696</v>
      </c>
      <c r="C147">
        <v>42263685</v>
      </c>
      <c r="D147">
        <v>36882057</v>
      </c>
      <c r="E147">
        <v>1</v>
      </c>
      <c r="F147">
        <v>1</v>
      </c>
      <c r="G147">
        <v>1</v>
      </c>
      <c r="H147">
        <v>2</v>
      </c>
      <c r="I147" t="s">
        <v>543</v>
      </c>
      <c r="J147" t="s">
        <v>544</v>
      </c>
      <c r="K147" t="s">
        <v>545</v>
      </c>
      <c r="L147">
        <v>1368</v>
      </c>
      <c r="N147">
        <v>1011</v>
      </c>
      <c r="O147" t="s">
        <v>470</v>
      </c>
      <c r="P147" t="s">
        <v>470</v>
      </c>
      <c r="Q147">
        <v>1</v>
      </c>
      <c r="X147">
        <v>18</v>
      </c>
      <c r="Y147">
        <v>0</v>
      </c>
      <c r="Z147">
        <v>86.4</v>
      </c>
      <c r="AA147">
        <v>13.5</v>
      </c>
      <c r="AB147">
        <v>0</v>
      </c>
      <c r="AC147">
        <v>0</v>
      </c>
      <c r="AD147">
        <v>1</v>
      </c>
      <c r="AE147">
        <v>0</v>
      </c>
      <c r="AG147">
        <v>18</v>
      </c>
      <c r="AH147">
        <v>2</v>
      </c>
      <c r="AI147">
        <v>42263688</v>
      </c>
      <c r="AJ147">
        <v>145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ROW(Source!A173)</f>
        <v>173</v>
      </c>
      <c r="B148">
        <v>42263697</v>
      </c>
      <c r="C148">
        <v>42263685</v>
      </c>
      <c r="D148">
        <v>36882569</v>
      </c>
      <c r="E148">
        <v>1</v>
      </c>
      <c r="F148">
        <v>1</v>
      </c>
      <c r="G148">
        <v>1</v>
      </c>
      <c r="H148">
        <v>2</v>
      </c>
      <c r="I148" t="s">
        <v>546</v>
      </c>
      <c r="J148" t="s">
        <v>547</v>
      </c>
      <c r="K148" t="s">
        <v>548</v>
      </c>
      <c r="L148">
        <v>1368</v>
      </c>
      <c r="N148">
        <v>1011</v>
      </c>
      <c r="O148" t="s">
        <v>470</v>
      </c>
      <c r="P148" t="s">
        <v>470</v>
      </c>
      <c r="Q148">
        <v>1</v>
      </c>
      <c r="X148">
        <v>48</v>
      </c>
      <c r="Y148">
        <v>0</v>
      </c>
      <c r="Z148">
        <v>0.5</v>
      </c>
      <c r="AA148">
        <v>0</v>
      </c>
      <c r="AB148">
        <v>0</v>
      </c>
      <c r="AC148">
        <v>0</v>
      </c>
      <c r="AD148">
        <v>1</v>
      </c>
      <c r="AE148">
        <v>0</v>
      </c>
      <c r="AG148">
        <v>48</v>
      </c>
      <c r="AH148">
        <v>2</v>
      </c>
      <c r="AI148">
        <v>42263689</v>
      </c>
      <c r="AJ148">
        <v>146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ROW(Source!A173)</f>
        <v>173</v>
      </c>
      <c r="B149">
        <v>42263698</v>
      </c>
      <c r="C149">
        <v>42263685</v>
      </c>
      <c r="D149">
        <v>36883554</v>
      </c>
      <c r="E149">
        <v>1</v>
      </c>
      <c r="F149">
        <v>1</v>
      </c>
      <c r="G149">
        <v>1</v>
      </c>
      <c r="H149">
        <v>2</v>
      </c>
      <c r="I149" t="s">
        <v>498</v>
      </c>
      <c r="J149" t="s">
        <v>499</v>
      </c>
      <c r="K149" t="s">
        <v>500</v>
      </c>
      <c r="L149">
        <v>1368</v>
      </c>
      <c r="N149">
        <v>1011</v>
      </c>
      <c r="O149" t="s">
        <v>470</v>
      </c>
      <c r="P149" t="s">
        <v>470</v>
      </c>
      <c r="Q149">
        <v>1</v>
      </c>
      <c r="X149">
        <v>0.13</v>
      </c>
      <c r="Y149">
        <v>0</v>
      </c>
      <c r="Z149">
        <v>65.71</v>
      </c>
      <c r="AA149">
        <v>11.6</v>
      </c>
      <c r="AB149">
        <v>0</v>
      </c>
      <c r="AC149">
        <v>0</v>
      </c>
      <c r="AD149">
        <v>1</v>
      </c>
      <c r="AE149">
        <v>0</v>
      </c>
      <c r="AG149">
        <v>0.13</v>
      </c>
      <c r="AH149">
        <v>2</v>
      </c>
      <c r="AI149">
        <v>42263690</v>
      </c>
      <c r="AJ149">
        <v>147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ROW(Source!A173)</f>
        <v>173</v>
      </c>
      <c r="B150">
        <v>42263699</v>
      </c>
      <c r="C150">
        <v>42263685</v>
      </c>
      <c r="D150">
        <v>36801792</v>
      </c>
      <c r="E150">
        <v>1</v>
      </c>
      <c r="F150">
        <v>1</v>
      </c>
      <c r="G150">
        <v>1</v>
      </c>
      <c r="H150">
        <v>3</v>
      </c>
      <c r="I150" t="s">
        <v>540</v>
      </c>
      <c r="J150" t="s">
        <v>541</v>
      </c>
      <c r="K150" t="s">
        <v>542</v>
      </c>
      <c r="L150">
        <v>1339</v>
      </c>
      <c r="N150">
        <v>1007</v>
      </c>
      <c r="O150" t="s">
        <v>140</v>
      </c>
      <c r="P150" t="s">
        <v>140</v>
      </c>
      <c r="Q150">
        <v>1</v>
      </c>
      <c r="X150">
        <v>0.2</v>
      </c>
      <c r="Y150">
        <v>2.44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G150">
        <v>0.2</v>
      </c>
      <c r="AH150">
        <v>2</v>
      </c>
      <c r="AI150">
        <v>42263691</v>
      </c>
      <c r="AJ150">
        <v>148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ROW(Source!A173)</f>
        <v>173</v>
      </c>
      <c r="B151">
        <v>42263700</v>
      </c>
      <c r="C151">
        <v>42263685</v>
      </c>
      <c r="D151">
        <v>36802304</v>
      </c>
      <c r="E151">
        <v>1</v>
      </c>
      <c r="F151">
        <v>1</v>
      </c>
      <c r="G151">
        <v>1</v>
      </c>
      <c r="H151">
        <v>3</v>
      </c>
      <c r="I151" t="s">
        <v>549</v>
      </c>
      <c r="J151" t="s">
        <v>550</v>
      </c>
      <c r="K151" t="s">
        <v>551</v>
      </c>
      <c r="L151">
        <v>1327</v>
      </c>
      <c r="N151">
        <v>1005</v>
      </c>
      <c r="O151" t="s">
        <v>552</v>
      </c>
      <c r="P151" t="s">
        <v>552</v>
      </c>
      <c r="Q151">
        <v>1</v>
      </c>
      <c r="X151">
        <v>250</v>
      </c>
      <c r="Y151">
        <v>3.62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G151">
        <v>250</v>
      </c>
      <c r="AH151">
        <v>2</v>
      </c>
      <c r="AI151">
        <v>42263692</v>
      </c>
      <c r="AJ151">
        <v>149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ROW(Source!A173)</f>
        <v>173</v>
      </c>
      <c r="B152">
        <v>42263701</v>
      </c>
      <c r="C152">
        <v>42263685</v>
      </c>
      <c r="D152">
        <v>36796108</v>
      </c>
      <c r="E152">
        <v>17</v>
      </c>
      <c r="F152">
        <v>1</v>
      </c>
      <c r="G152">
        <v>1</v>
      </c>
      <c r="H152">
        <v>3</v>
      </c>
      <c r="I152" t="s">
        <v>710</v>
      </c>
      <c r="K152" t="s">
        <v>711</v>
      </c>
      <c r="L152">
        <v>1339</v>
      </c>
      <c r="N152">
        <v>1007</v>
      </c>
      <c r="O152" t="s">
        <v>140</v>
      </c>
      <c r="P152" t="s">
        <v>140</v>
      </c>
      <c r="Q152">
        <v>1</v>
      </c>
      <c r="X152">
        <v>102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G152">
        <v>102</v>
      </c>
      <c r="AH152">
        <v>3</v>
      </c>
      <c r="AI152">
        <v>-1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ROW(Source!A176)</f>
        <v>176</v>
      </c>
      <c r="B153">
        <v>42263720</v>
      </c>
      <c r="C153">
        <v>42263711</v>
      </c>
      <c r="D153">
        <v>37066491</v>
      </c>
      <c r="E153">
        <v>1</v>
      </c>
      <c r="F153">
        <v>1</v>
      </c>
      <c r="G153">
        <v>1</v>
      </c>
      <c r="H153">
        <v>1</v>
      </c>
      <c r="I153" t="s">
        <v>526</v>
      </c>
      <c r="K153" t="s">
        <v>527</v>
      </c>
      <c r="L153">
        <v>1191</v>
      </c>
      <c r="N153">
        <v>1013</v>
      </c>
      <c r="O153" t="s">
        <v>462</v>
      </c>
      <c r="P153" t="s">
        <v>462</v>
      </c>
      <c r="Q153">
        <v>1</v>
      </c>
      <c r="X153">
        <v>15.72</v>
      </c>
      <c r="Y153">
        <v>0</v>
      </c>
      <c r="Z153">
        <v>0</v>
      </c>
      <c r="AA153">
        <v>0</v>
      </c>
      <c r="AB153">
        <v>8.02</v>
      </c>
      <c r="AC153">
        <v>0</v>
      </c>
      <c r="AD153">
        <v>1</v>
      </c>
      <c r="AE153">
        <v>1</v>
      </c>
      <c r="AG153">
        <v>15.72</v>
      </c>
      <c r="AH153">
        <v>2</v>
      </c>
      <c r="AI153">
        <v>42263712</v>
      </c>
      <c r="AJ153">
        <v>151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ROW(Source!A176)</f>
        <v>176</v>
      </c>
      <c r="B154">
        <v>42263721</v>
      </c>
      <c r="C154">
        <v>42263711</v>
      </c>
      <c r="D154">
        <v>37064876</v>
      </c>
      <c r="E154">
        <v>1</v>
      </c>
      <c r="F154">
        <v>1</v>
      </c>
      <c r="G154">
        <v>1</v>
      </c>
      <c r="H154">
        <v>1</v>
      </c>
      <c r="I154" t="s">
        <v>465</v>
      </c>
      <c r="K154" t="s">
        <v>466</v>
      </c>
      <c r="L154">
        <v>1191</v>
      </c>
      <c r="N154">
        <v>1013</v>
      </c>
      <c r="O154" t="s">
        <v>462</v>
      </c>
      <c r="P154" t="s">
        <v>462</v>
      </c>
      <c r="Q154">
        <v>1</v>
      </c>
      <c r="X154">
        <v>13.88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2</v>
      </c>
      <c r="AG154">
        <v>13.88</v>
      </c>
      <c r="AH154">
        <v>2</v>
      </c>
      <c r="AI154">
        <v>42263713</v>
      </c>
      <c r="AJ154">
        <v>152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ROW(Source!A176)</f>
        <v>176</v>
      </c>
      <c r="B155">
        <v>42263722</v>
      </c>
      <c r="C155">
        <v>42263711</v>
      </c>
      <c r="D155">
        <v>36881380</v>
      </c>
      <c r="E155">
        <v>1</v>
      </c>
      <c r="F155">
        <v>1</v>
      </c>
      <c r="G155">
        <v>1</v>
      </c>
      <c r="H155">
        <v>2</v>
      </c>
      <c r="I155" t="s">
        <v>528</v>
      </c>
      <c r="J155" t="s">
        <v>529</v>
      </c>
      <c r="K155" t="s">
        <v>530</v>
      </c>
      <c r="L155">
        <v>1368</v>
      </c>
      <c r="N155">
        <v>1011</v>
      </c>
      <c r="O155" t="s">
        <v>470</v>
      </c>
      <c r="P155" t="s">
        <v>470</v>
      </c>
      <c r="Q155">
        <v>1</v>
      </c>
      <c r="X155">
        <v>1.77</v>
      </c>
      <c r="Y155">
        <v>0</v>
      </c>
      <c r="Z155">
        <v>123</v>
      </c>
      <c r="AA155">
        <v>13.5</v>
      </c>
      <c r="AB155">
        <v>0</v>
      </c>
      <c r="AC155">
        <v>0</v>
      </c>
      <c r="AD155">
        <v>1</v>
      </c>
      <c r="AE155">
        <v>0</v>
      </c>
      <c r="AG155">
        <v>1.77</v>
      </c>
      <c r="AH155">
        <v>2</v>
      </c>
      <c r="AI155">
        <v>42263714</v>
      </c>
      <c r="AJ155">
        <v>153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ROW(Source!A176)</f>
        <v>176</v>
      </c>
      <c r="B156">
        <v>42263723</v>
      </c>
      <c r="C156">
        <v>42263711</v>
      </c>
      <c r="D156">
        <v>36882383</v>
      </c>
      <c r="E156">
        <v>1</v>
      </c>
      <c r="F156">
        <v>1</v>
      </c>
      <c r="G156">
        <v>1</v>
      </c>
      <c r="H156">
        <v>2</v>
      </c>
      <c r="I156" t="s">
        <v>531</v>
      </c>
      <c r="J156" t="s">
        <v>532</v>
      </c>
      <c r="K156" t="s">
        <v>533</v>
      </c>
      <c r="L156">
        <v>1368</v>
      </c>
      <c r="N156">
        <v>1011</v>
      </c>
      <c r="O156" t="s">
        <v>470</v>
      </c>
      <c r="P156" t="s">
        <v>470</v>
      </c>
      <c r="Q156">
        <v>1</v>
      </c>
      <c r="X156">
        <v>4.29</v>
      </c>
      <c r="Y156">
        <v>0</v>
      </c>
      <c r="Z156">
        <v>89.99</v>
      </c>
      <c r="AA156">
        <v>10.06</v>
      </c>
      <c r="AB156">
        <v>0</v>
      </c>
      <c r="AC156">
        <v>0</v>
      </c>
      <c r="AD156">
        <v>1</v>
      </c>
      <c r="AE156">
        <v>0</v>
      </c>
      <c r="AG156">
        <v>4.29</v>
      </c>
      <c r="AH156">
        <v>2</v>
      </c>
      <c r="AI156">
        <v>42263715</v>
      </c>
      <c r="AJ156">
        <v>154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ROW(Source!A176)</f>
        <v>176</v>
      </c>
      <c r="B157">
        <v>42263724</v>
      </c>
      <c r="C157">
        <v>42263711</v>
      </c>
      <c r="D157">
        <v>36882750</v>
      </c>
      <c r="E157">
        <v>1</v>
      </c>
      <c r="F157">
        <v>1</v>
      </c>
      <c r="G157">
        <v>1</v>
      </c>
      <c r="H157">
        <v>2</v>
      </c>
      <c r="I157" t="s">
        <v>534</v>
      </c>
      <c r="J157" t="s">
        <v>535</v>
      </c>
      <c r="K157" t="s">
        <v>536</v>
      </c>
      <c r="L157">
        <v>1368</v>
      </c>
      <c r="N157">
        <v>1011</v>
      </c>
      <c r="O157" t="s">
        <v>470</v>
      </c>
      <c r="P157" t="s">
        <v>470</v>
      </c>
      <c r="Q157">
        <v>1</v>
      </c>
      <c r="X157">
        <v>7.08</v>
      </c>
      <c r="Y157">
        <v>0</v>
      </c>
      <c r="Z157">
        <v>206.01</v>
      </c>
      <c r="AA157">
        <v>14.4</v>
      </c>
      <c r="AB157">
        <v>0</v>
      </c>
      <c r="AC157">
        <v>0</v>
      </c>
      <c r="AD157">
        <v>1</v>
      </c>
      <c r="AE157">
        <v>0</v>
      </c>
      <c r="AG157">
        <v>7.08</v>
      </c>
      <c r="AH157">
        <v>2</v>
      </c>
      <c r="AI157">
        <v>42263716</v>
      </c>
      <c r="AJ157">
        <v>155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ROW(Source!A176)</f>
        <v>176</v>
      </c>
      <c r="B158">
        <v>42263725</v>
      </c>
      <c r="C158">
        <v>42263711</v>
      </c>
      <c r="D158">
        <v>36883483</v>
      </c>
      <c r="E158">
        <v>1</v>
      </c>
      <c r="F158">
        <v>1</v>
      </c>
      <c r="G158">
        <v>1</v>
      </c>
      <c r="H158">
        <v>2</v>
      </c>
      <c r="I158" t="s">
        <v>537</v>
      </c>
      <c r="J158" t="s">
        <v>538</v>
      </c>
      <c r="K158" t="s">
        <v>539</v>
      </c>
      <c r="L158">
        <v>1368</v>
      </c>
      <c r="N158">
        <v>1011</v>
      </c>
      <c r="O158" t="s">
        <v>470</v>
      </c>
      <c r="P158" t="s">
        <v>470</v>
      </c>
      <c r="Q158">
        <v>1</v>
      </c>
      <c r="X158">
        <v>0.74</v>
      </c>
      <c r="Y158">
        <v>0</v>
      </c>
      <c r="Z158">
        <v>110</v>
      </c>
      <c r="AA158">
        <v>11.6</v>
      </c>
      <c r="AB158">
        <v>0</v>
      </c>
      <c r="AC158">
        <v>0</v>
      </c>
      <c r="AD158">
        <v>1</v>
      </c>
      <c r="AE158">
        <v>0</v>
      </c>
      <c r="AG158">
        <v>0.74</v>
      </c>
      <c r="AH158">
        <v>2</v>
      </c>
      <c r="AI158">
        <v>42263717</v>
      </c>
      <c r="AJ158">
        <v>156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ROW(Source!A176)</f>
        <v>176</v>
      </c>
      <c r="B159">
        <v>42263726</v>
      </c>
      <c r="C159">
        <v>42263711</v>
      </c>
      <c r="D159">
        <v>36801792</v>
      </c>
      <c r="E159">
        <v>1</v>
      </c>
      <c r="F159">
        <v>1</v>
      </c>
      <c r="G159">
        <v>1</v>
      </c>
      <c r="H159">
        <v>3</v>
      </c>
      <c r="I159" t="s">
        <v>540</v>
      </c>
      <c r="J159" t="s">
        <v>541</v>
      </c>
      <c r="K159" t="s">
        <v>542</v>
      </c>
      <c r="L159">
        <v>1339</v>
      </c>
      <c r="N159">
        <v>1007</v>
      </c>
      <c r="O159" t="s">
        <v>140</v>
      </c>
      <c r="P159" t="s">
        <v>140</v>
      </c>
      <c r="Q159">
        <v>1</v>
      </c>
      <c r="X159">
        <v>5</v>
      </c>
      <c r="Y159">
        <v>2.44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G159">
        <v>5</v>
      </c>
      <c r="AH159">
        <v>2</v>
      </c>
      <c r="AI159">
        <v>42263718</v>
      </c>
      <c r="AJ159">
        <v>157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ROW(Source!A176)</f>
        <v>176</v>
      </c>
      <c r="B160">
        <v>42263727</v>
      </c>
      <c r="C160">
        <v>42263711</v>
      </c>
      <c r="D160">
        <v>36796087</v>
      </c>
      <c r="E160">
        <v>17</v>
      </c>
      <c r="F160">
        <v>1</v>
      </c>
      <c r="G160">
        <v>1</v>
      </c>
      <c r="H160">
        <v>3</v>
      </c>
      <c r="I160" t="s">
        <v>708</v>
      </c>
      <c r="K160" t="s">
        <v>709</v>
      </c>
      <c r="L160">
        <v>1339</v>
      </c>
      <c r="N160">
        <v>1007</v>
      </c>
      <c r="O160" t="s">
        <v>140</v>
      </c>
      <c r="P160" t="s">
        <v>140</v>
      </c>
      <c r="Q160">
        <v>1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1</v>
      </c>
      <c r="AD160">
        <v>0</v>
      </c>
      <c r="AE160">
        <v>0</v>
      </c>
      <c r="AG160">
        <v>0</v>
      </c>
      <c r="AH160">
        <v>3</v>
      </c>
      <c r="AI160">
        <v>-1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ROW(Source!A178)</f>
        <v>178</v>
      </c>
      <c r="B161">
        <v>42263766</v>
      </c>
      <c r="C161">
        <v>42263729</v>
      </c>
      <c r="D161">
        <v>37068148</v>
      </c>
      <c r="E161">
        <v>1</v>
      </c>
      <c r="F161">
        <v>1</v>
      </c>
      <c r="G161">
        <v>1</v>
      </c>
      <c r="H161">
        <v>1</v>
      </c>
      <c r="I161" t="s">
        <v>561</v>
      </c>
      <c r="K161" t="s">
        <v>562</v>
      </c>
      <c r="L161">
        <v>1191</v>
      </c>
      <c r="N161">
        <v>1013</v>
      </c>
      <c r="O161" t="s">
        <v>462</v>
      </c>
      <c r="P161" t="s">
        <v>462</v>
      </c>
      <c r="Q161">
        <v>1</v>
      </c>
      <c r="X161">
        <v>24.19</v>
      </c>
      <c r="Y161">
        <v>0</v>
      </c>
      <c r="Z161">
        <v>0</v>
      </c>
      <c r="AA161">
        <v>0</v>
      </c>
      <c r="AB161">
        <v>8.09</v>
      </c>
      <c r="AC161">
        <v>0</v>
      </c>
      <c r="AD161">
        <v>1</v>
      </c>
      <c r="AE161">
        <v>1</v>
      </c>
      <c r="AG161">
        <v>24.19</v>
      </c>
      <c r="AH161">
        <v>2</v>
      </c>
      <c r="AI161">
        <v>42263766</v>
      </c>
      <c r="AJ161">
        <v>159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ROW(Source!A178)</f>
        <v>178</v>
      </c>
      <c r="B162">
        <v>42263767</v>
      </c>
      <c r="C162">
        <v>42263729</v>
      </c>
      <c r="D162">
        <v>37064876</v>
      </c>
      <c r="E162">
        <v>1</v>
      </c>
      <c r="F162">
        <v>1</v>
      </c>
      <c r="G162">
        <v>1</v>
      </c>
      <c r="H162">
        <v>1</v>
      </c>
      <c r="I162" t="s">
        <v>465</v>
      </c>
      <c r="K162" t="s">
        <v>466</v>
      </c>
      <c r="L162">
        <v>1191</v>
      </c>
      <c r="N162">
        <v>1013</v>
      </c>
      <c r="O162" t="s">
        <v>462</v>
      </c>
      <c r="P162" t="s">
        <v>462</v>
      </c>
      <c r="Q162">
        <v>1</v>
      </c>
      <c r="X162">
        <v>20.6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2</v>
      </c>
      <c r="AG162">
        <v>20.6</v>
      </c>
      <c r="AH162">
        <v>2</v>
      </c>
      <c r="AI162">
        <v>42263767</v>
      </c>
      <c r="AJ162">
        <v>160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ROW(Source!A178)</f>
        <v>178</v>
      </c>
      <c r="B163">
        <v>42263768</v>
      </c>
      <c r="C163">
        <v>42263729</v>
      </c>
      <c r="D163">
        <v>36881356</v>
      </c>
      <c r="E163">
        <v>1</v>
      </c>
      <c r="F163">
        <v>1</v>
      </c>
      <c r="G163">
        <v>1</v>
      </c>
      <c r="H163">
        <v>2</v>
      </c>
      <c r="I163" t="s">
        <v>467</v>
      </c>
      <c r="J163" t="s">
        <v>468</v>
      </c>
      <c r="K163" t="s">
        <v>469</v>
      </c>
      <c r="L163">
        <v>1368</v>
      </c>
      <c r="N163">
        <v>1011</v>
      </c>
      <c r="O163" t="s">
        <v>470</v>
      </c>
      <c r="P163" t="s">
        <v>470</v>
      </c>
      <c r="Q163">
        <v>1</v>
      </c>
      <c r="X163">
        <v>2.59</v>
      </c>
      <c r="Y163">
        <v>0</v>
      </c>
      <c r="Z163">
        <v>79.07</v>
      </c>
      <c r="AA163">
        <v>13.5</v>
      </c>
      <c r="AB163">
        <v>0</v>
      </c>
      <c r="AC163">
        <v>0</v>
      </c>
      <c r="AD163">
        <v>1</v>
      </c>
      <c r="AE163">
        <v>0</v>
      </c>
      <c r="AG163">
        <v>2.59</v>
      </c>
      <c r="AH163">
        <v>2</v>
      </c>
      <c r="AI163">
        <v>42263768</v>
      </c>
      <c r="AJ163">
        <v>161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ROW(Source!A178)</f>
        <v>178</v>
      </c>
      <c r="B164">
        <v>42263769</v>
      </c>
      <c r="C164">
        <v>42263729</v>
      </c>
      <c r="D164">
        <v>36881380</v>
      </c>
      <c r="E164">
        <v>1</v>
      </c>
      <c r="F164">
        <v>1</v>
      </c>
      <c r="G164">
        <v>1</v>
      </c>
      <c r="H164">
        <v>2</v>
      </c>
      <c r="I164" t="s">
        <v>528</v>
      </c>
      <c r="J164" t="s">
        <v>529</v>
      </c>
      <c r="K164" t="s">
        <v>530</v>
      </c>
      <c r="L164">
        <v>1368</v>
      </c>
      <c r="N164">
        <v>1011</v>
      </c>
      <c r="O164" t="s">
        <v>470</v>
      </c>
      <c r="P164" t="s">
        <v>470</v>
      </c>
      <c r="Q164">
        <v>1</v>
      </c>
      <c r="X164">
        <v>2.3</v>
      </c>
      <c r="Y164">
        <v>0</v>
      </c>
      <c r="Z164">
        <v>123</v>
      </c>
      <c r="AA164">
        <v>13.5</v>
      </c>
      <c r="AB164">
        <v>0</v>
      </c>
      <c r="AC164">
        <v>0</v>
      </c>
      <c r="AD164">
        <v>1</v>
      </c>
      <c r="AE164">
        <v>0</v>
      </c>
      <c r="AG164">
        <v>2.3</v>
      </c>
      <c r="AH164">
        <v>2</v>
      </c>
      <c r="AI164">
        <v>42263769</v>
      </c>
      <c r="AJ164">
        <v>162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ROW(Source!A178)</f>
        <v>178</v>
      </c>
      <c r="B165">
        <v>42263770</v>
      </c>
      <c r="C165">
        <v>42263729</v>
      </c>
      <c r="D165">
        <v>36882383</v>
      </c>
      <c r="E165">
        <v>1</v>
      </c>
      <c r="F165">
        <v>1</v>
      </c>
      <c r="G165">
        <v>1</v>
      </c>
      <c r="H165">
        <v>2</v>
      </c>
      <c r="I165" t="s">
        <v>531</v>
      </c>
      <c r="J165" t="s">
        <v>532</v>
      </c>
      <c r="K165" t="s">
        <v>533</v>
      </c>
      <c r="L165">
        <v>1368</v>
      </c>
      <c r="N165">
        <v>1011</v>
      </c>
      <c r="O165" t="s">
        <v>470</v>
      </c>
      <c r="P165" t="s">
        <v>470</v>
      </c>
      <c r="Q165">
        <v>1</v>
      </c>
      <c r="X165">
        <v>2.46</v>
      </c>
      <c r="Y165">
        <v>0</v>
      </c>
      <c r="Z165">
        <v>89.99</v>
      </c>
      <c r="AA165">
        <v>10.06</v>
      </c>
      <c r="AB165">
        <v>0</v>
      </c>
      <c r="AC165">
        <v>0</v>
      </c>
      <c r="AD165">
        <v>1</v>
      </c>
      <c r="AE165">
        <v>0</v>
      </c>
      <c r="AG165">
        <v>2.46</v>
      </c>
      <c r="AH165">
        <v>2</v>
      </c>
      <c r="AI165">
        <v>42263770</v>
      </c>
      <c r="AJ165">
        <v>163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ROW(Source!A178)</f>
        <v>178</v>
      </c>
      <c r="B166">
        <v>42263771</v>
      </c>
      <c r="C166">
        <v>42263729</v>
      </c>
      <c r="D166">
        <v>36882750</v>
      </c>
      <c r="E166">
        <v>1</v>
      </c>
      <c r="F166">
        <v>1</v>
      </c>
      <c r="G166">
        <v>1</v>
      </c>
      <c r="H166">
        <v>2</v>
      </c>
      <c r="I166" t="s">
        <v>534</v>
      </c>
      <c r="J166" t="s">
        <v>535</v>
      </c>
      <c r="K166" t="s">
        <v>536</v>
      </c>
      <c r="L166">
        <v>1368</v>
      </c>
      <c r="N166">
        <v>1011</v>
      </c>
      <c r="O166" t="s">
        <v>470</v>
      </c>
      <c r="P166" t="s">
        <v>470</v>
      </c>
      <c r="Q166">
        <v>1</v>
      </c>
      <c r="X166">
        <v>12.21</v>
      </c>
      <c r="Y166">
        <v>0</v>
      </c>
      <c r="Z166">
        <v>206.01</v>
      </c>
      <c r="AA166">
        <v>14.4</v>
      </c>
      <c r="AB166">
        <v>0</v>
      </c>
      <c r="AC166">
        <v>0</v>
      </c>
      <c r="AD166">
        <v>1</v>
      </c>
      <c r="AE166">
        <v>0</v>
      </c>
      <c r="AG166">
        <v>12.21</v>
      </c>
      <c r="AH166">
        <v>2</v>
      </c>
      <c r="AI166">
        <v>42263771</v>
      </c>
      <c r="AJ166">
        <v>164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ROW(Source!A178)</f>
        <v>178</v>
      </c>
      <c r="B167">
        <v>42263772</v>
      </c>
      <c r="C167">
        <v>42263729</v>
      </c>
      <c r="D167">
        <v>36883483</v>
      </c>
      <c r="E167">
        <v>1</v>
      </c>
      <c r="F167">
        <v>1</v>
      </c>
      <c r="G167">
        <v>1</v>
      </c>
      <c r="H167">
        <v>2</v>
      </c>
      <c r="I167" t="s">
        <v>537</v>
      </c>
      <c r="J167" t="s">
        <v>538</v>
      </c>
      <c r="K167" t="s">
        <v>539</v>
      </c>
      <c r="L167">
        <v>1368</v>
      </c>
      <c r="N167">
        <v>1011</v>
      </c>
      <c r="O167" t="s">
        <v>470</v>
      </c>
      <c r="P167" t="s">
        <v>470</v>
      </c>
      <c r="Q167">
        <v>1</v>
      </c>
      <c r="X167">
        <v>1.04</v>
      </c>
      <c r="Y167">
        <v>0</v>
      </c>
      <c r="Z167">
        <v>110</v>
      </c>
      <c r="AA167">
        <v>11.6</v>
      </c>
      <c r="AB167">
        <v>0</v>
      </c>
      <c r="AC167">
        <v>0</v>
      </c>
      <c r="AD167">
        <v>1</v>
      </c>
      <c r="AE167">
        <v>0</v>
      </c>
      <c r="AG167">
        <v>1.04</v>
      </c>
      <c r="AH167">
        <v>2</v>
      </c>
      <c r="AI167">
        <v>42263772</v>
      </c>
      <c r="AJ167">
        <v>165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ROW(Source!A178)</f>
        <v>178</v>
      </c>
      <c r="B168">
        <v>42263773</v>
      </c>
      <c r="C168">
        <v>42263729</v>
      </c>
      <c r="D168">
        <v>36801792</v>
      </c>
      <c r="E168">
        <v>1</v>
      </c>
      <c r="F168">
        <v>1</v>
      </c>
      <c r="G168">
        <v>1</v>
      </c>
      <c r="H168">
        <v>3</v>
      </c>
      <c r="I168" t="s">
        <v>540</v>
      </c>
      <c r="J168" t="s">
        <v>541</v>
      </c>
      <c r="K168" t="s">
        <v>542</v>
      </c>
      <c r="L168">
        <v>1339</v>
      </c>
      <c r="N168">
        <v>1007</v>
      </c>
      <c r="O168" t="s">
        <v>140</v>
      </c>
      <c r="P168" t="s">
        <v>140</v>
      </c>
      <c r="Q168">
        <v>1</v>
      </c>
      <c r="X168">
        <v>7</v>
      </c>
      <c r="Y168">
        <v>2.44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G168">
        <v>7</v>
      </c>
      <c r="AH168">
        <v>2</v>
      </c>
      <c r="AI168">
        <v>42263773</v>
      </c>
      <c r="AJ168">
        <v>166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ROW(Source!A178)</f>
        <v>178</v>
      </c>
      <c r="B169">
        <v>42263774</v>
      </c>
      <c r="C169">
        <v>42263729</v>
      </c>
      <c r="D169">
        <v>36796092</v>
      </c>
      <c r="E169">
        <v>17</v>
      </c>
      <c r="F169">
        <v>1</v>
      </c>
      <c r="G169">
        <v>1</v>
      </c>
      <c r="H169">
        <v>3</v>
      </c>
      <c r="I169" t="s">
        <v>727</v>
      </c>
      <c r="K169" t="s">
        <v>728</v>
      </c>
      <c r="L169">
        <v>1339</v>
      </c>
      <c r="N169">
        <v>1007</v>
      </c>
      <c r="O169" t="s">
        <v>140</v>
      </c>
      <c r="P169" t="s">
        <v>140</v>
      </c>
      <c r="Q169">
        <v>1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</v>
      </c>
      <c r="AD169">
        <v>0</v>
      </c>
      <c r="AE169">
        <v>0</v>
      </c>
      <c r="AG169">
        <v>0</v>
      </c>
      <c r="AH169">
        <v>3</v>
      </c>
      <c r="AI169">
        <v>-1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ROW(Source!A181)</f>
        <v>181</v>
      </c>
      <c r="B170">
        <v>42255189</v>
      </c>
      <c r="C170">
        <v>42255177</v>
      </c>
      <c r="D170">
        <v>37064878</v>
      </c>
      <c r="E170">
        <v>1</v>
      </c>
      <c r="F170">
        <v>1</v>
      </c>
      <c r="G170">
        <v>1</v>
      </c>
      <c r="H170">
        <v>1</v>
      </c>
      <c r="I170" t="s">
        <v>663</v>
      </c>
      <c r="K170" t="s">
        <v>664</v>
      </c>
      <c r="L170">
        <v>1191</v>
      </c>
      <c r="N170">
        <v>1013</v>
      </c>
      <c r="O170" t="s">
        <v>462</v>
      </c>
      <c r="P170" t="s">
        <v>462</v>
      </c>
      <c r="Q170">
        <v>1</v>
      </c>
      <c r="X170">
        <v>25.36</v>
      </c>
      <c r="Y170">
        <v>0</v>
      </c>
      <c r="Z170">
        <v>0</v>
      </c>
      <c r="AA170">
        <v>0</v>
      </c>
      <c r="AB170">
        <v>9.4</v>
      </c>
      <c r="AC170">
        <v>0</v>
      </c>
      <c r="AD170">
        <v>1</v>
      </c>
      <c r="AE170">
        <v>1</v>
      </c>
      <c r="AG170">
        <v>25.36</v>
      </c>
      <c r="AH170">
        <v>2</v>
      </c>
      <c r="AI170">
        <v>42255178</v>
      </c>
      <c r="AJ170">
        <v>167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ROW(Source!A181)</f>
        <v>181</v>
      </c>
      <c r="B171">
        <v>42255190</v>
      </c>
      <c r="C171">
        <v>42255177</v>
      </c>
      <c r="D171">
        <v>37064876</v>
      </c>
      <c r="E171">
        <v>1</v>
      </c>
      <c r="F171">
        <v>1</v>
      </c>
      <c r="G171">
        <v>1</v>
      </c>
      <c r="H171">
        <v>1</v>
      </c>
      <c r="I171" t="s">
        <v>465</v>
      </c>
      <c r="K171" t="s">
        <v>466</v>
      </c>
      <c r="L171">
        <v>1191</v>
      </c>
      <c r="N171">
        <v>1013</v>
      </c>
      <c r="O171" t="s">
        <v>462</v>
      </c>
      <c r="P171" t="s">
        <v>462</v>
      </c>
      <c r="Q171">
        <v>1</v>
      </c>
      <c r="X171">
        <v>7.04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2</v>
      </c>
      <c r="AG171">
        <v>7.04</v>
      </c>
      <c r="AH171">
        <v>2</v>
      </c>
      <c r="AI171">
        <v>42255179</v>
      </c>
      <c r="AJ171">
        <v>168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ROW(Source!A181)</f>
        <v>181</v>
      </c>
      <c r="B172">
        <v>42255191</v>
      </c>
      <c r="C172">
        <v>42255177</v>
      </c>
      <c r="D172">
        <v>36882159</v>
      </c>
      <c r="E172">
        <v>1</v>
      </c>
      <c r="F172">
        <v>1</v>
      </c>
      <c r="G172">
        <v>1</v>
      </c>
      <c r="H172">
        <v>2</v>
      </c>
      <c r="I172" t="s">
        <v>495</v>
      </c>
      <c r="J172" t="s">
        <v>496</v>
      </c>
      <c r="K172" t="s">
        <v>497</v>
      </c>
      <c r="L172">
        <v>1368</v>
      </c>
      <c r="N172">
        <v>1011</v>
      </c>
      <c r="O172" t="s">
        <v>470</v>
      </c>
      <c r="P172" t="s">
        <v>470</v>
      </c>
      <c r="Q172">
        <v>1</v>
      </c>
      <c r="X172">
        <v>0.1</v>
      </c>
      <c r="Y172">
        <v>0</v>
      </c>
      <c r="Z172">
        <v>111.99</v>
      </c>
      <c r="AA172">
        <v>13.5</v>
      </c>
      <c r="AB172">
        <v>0</v>
      </c>
      <c r="AC172">
        <v>0</v>
      </c>
      <c r="AD172">
        <v>1</v>
      </c>
      <c r="AE172">
        <v>0</v>
      </c>
      <c r="AG172">
        <v>0.1</v>
      </c>
      <c r="AH172">
        <v>2</v>
      </c>
      <c r="AI172">
        <v>42255180</v>
      </c>
      <c r="AJ172">
        <v>169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ROW(Source!A181)</f>
        <v>181</v>
      </c>
      <c r="B173">
        <v>42255192</v>
      </c>
      <c r="C173">
        <v>42255177</v>
      </c>
      <c r="D173">
        <v>36882440</v>
      </c>
      <c r="E173">
        <v>1</v>
      </c>
      <c r="F173">
        <v>1</v>
      </c>
      <c r="G173">
        <v>1</v>
      </c>
      <c r="H173">
        <v>2</v>
      </c>
      <c r="I173" t="s">
        <v>665</v>
      </c>
      <c r="J173" t="s">
        <v>666</v>
      </c>
      <c r="K173" t="s">
        <v>667</v>
      </c>
      <c r="L173">
        <v>1368</v>
      </c>
      <c r="N173">
        <v>1011</v>
      </c>
      <c r="O173" t="s">
        <v>470</v>
      </c>
      <c r="P173" t="s">
        <v>470</v>
      </c>
      <c r="Q173">
        <v>1</v>
      </c>
      <c r="X173">
        <v>6.84</v>
      </c>
      <c r="Y173">
        <v>0</v>
      </c>
      <c r="Z173">
        <v>29.6</v>
      </c>
      <c r="AA173">
        <v>10.06</v>
      </c>
      <c r="AB173">
        <v>0</v>
      </c>
      <c r="AC173">
        <v>0</v>
      </c>
      <c r="AD173">
        <v>1</v>
      </c>
      <c r="AE173">
        <v>0</v>
      </c>
      <c r="AG173">
        <v>6.84</v>
      </c>
      <c r="AH173">
        <v>2</v>
      </c>
      <c r="AI173">
        <v>42255181</v>
      </c>
      <c r="AJ173">
        <v>170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ROW(Source!A181)</f>
        <v>181</v>
      </c>
      <c r="B174">
        <v>42255193</v>
      </c>
      <c r="C174">
        <v>42255177</v>
      </c>
      <c r="D174">
        <v>36883554</v>
      </c>
      <c r="E174">
        <v>1</v>
      </c>
      <c r="F174">
        <v>1</v>
      </c>
      <c r="G174">
        <v>1</v>
      </c>
      <c r="H174">
        <v>2</v>
      </c>
      <c r="I174" t="s">
        <v>498</v>
      </c>
      <c r="J174" t="s">
        <v>499</v>
      </c>
      <c r="K174" t="s">
        <v>500</v>
      </c>
      <c r="L174">
        <v>1368</v>
      </c>
      <c r="N174">
        <v>1011</v>
      </c>
      <c r="O174" t="s">
        <v>470</v>
      </c>
      <c r="P174" t="s">
        <v>470</v>
      </c>
      <c r="Q174">
        <v>1</v>
      </c>
      <c r="X174">
        <v>0.1</v>
      </c>
      <c r="Y174">
        <v>0</v>
      </c>
      <c r="Z174">
        <v>65.71</v>
      </c>
      <c r="AA174">
        <v>11.6</v>
      </c>
      <c r="AB174">
        <v>0</v>
      </c>
      <c r="AC174">
        <v>0</v>
      </c>
      <c r="AD174">
        <v>1</v>
      </c>
      <c r="AE174">
        <v>0</v>
      </c>
      <c r="AG174">
        <v>0.1</v>
      </c>
      <c r="AH174">
        <v>2</v>
      </c>
      <c r="AI174">
        <v>42255182</v>
      </c>
      <c r="AJ174">
        <v>171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ROW(Source!A181)</f>
        <v>181</v>
      </c>
      <c r="B175">
        <v>42255194</v>
      </c>
      <c r="C175">
        <v>42255177</v>
      </c>
      <c r="D175">
        <v>36883858</v>
      </c>
      <c r="E175">
        <v>1</v>
      </c>
      <c r="F175">
        <v>1</v>
      </c>
      <c r="G175">
        <v>1</v>
      </c>
      <c r="H175">
        <v>2</v>
      </c>
      <c r="I175" t="s">
        <v>501</v>
      </c>
      <c r="J175" t="s">
        <v>502</v>
      </c>
      <c r="K175" t="s">
        <v>503</v>
      </c>
      <c r="L175">
        <v>1368</v>
      </c>
      <c r="N175">
        <v>1011</v>
      </c>
      <c r="O175" t="s">
        <v>470</v>
      </c>
      <c r="P175" t="s">
        <v>470</v>
      </c>
      <c r="Q175">
        <v>1</v>
      </c>
      <c r="X175">
        <v>2.54</v>
      </c>
      <c r="Y175">
        <v>0</v>
      </c>
      <c r="Z175">
        <v>8.1</v>
      </c>
      <c r="AA175">
        <v>0</v>
      </c>
      <c r="AB175">
        <v>0</v>
      </c>
      <c r="AC175">
        <v>0</v>
      </c>
      <c r="AD175">
        <v>1</v>
      </c>
      <c r="AE175">
        <v>0</v>
      </c>
      <c r="AG175">
        <v>2.54</v>
      </c>
      <c r="AH175">
        <v>2</v>
      </c>
      <c r="AI175">
        <v>42255183</v>
      </c>
      <c r="AJ175">
        <v>172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ROW(Source!A181)</f>
        <v>181</v>
      </c>
      <c r="B176">
        <v>42255195</v>
      </c>
      <c r="C176">
        <v>42255177</v>
      </c>
      <c r="D176">
        <v>36803258</v>
      </c>
      <c r="E176">
        <v>1</v>
      </c>
      <c r="F176">
        <v>1</v>
      </c>
      <c r="G176">
        <v>1</v>
      </c>
      <c r="H176">
        <v>3</v>
      </c>
      <c r="I176" t="s">
        <v>507</v>
      </c>
      <c r="J176" t="s">
        <v>508</v>
      </c>
      <c r="K176" t="s">
        <v>509</v>
      </c>
      <c r="L176">
        <v>1346</v>
      </c>
      <c r="N176">
        <v>1009</v>
      </c>
      <c r="O176" t="s">
        <v>386</v>
      </c>
      <c r="P176" t="s">
        <v>386</v>
      </c>
      <c r="Q176">
        <v>1</v>
      </c>
      <c r="X176">
        <v>6.84</v>
      </c>
      <c r="Y176">
        <v>10.57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G176">
        <v>6.84</v>
      </c>
      <c r="AH176">
        <v>2</v>
      </c>
      <c r="AI176">
        <v>42255184</v>
      </c>
      <c r="AJ176">
        <v>173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ROW(Source!A181)</f>
        <v>181</v>
      </c>
      <c r="B177">
        <v>42255196</v>
      </c>
      <c r="C177">
        <v>42255177</v>
      </c>
      <c r="D177">
        <v>36804448</v>
      </c>
      <c r="E177">
        <v>1</v>
      </c>
      <c r="F177">
        <v>1</v>
      </c>
      <c r="G177">
        <v>1</v>
      </c>
      <c r="H177">
        <v>3</v>
      </c>
      <c r="I177" t="s">
        <v>668</v>
      </c>
      <c r="J177" t="s">
        <v>669</v>
      </c>
      <c r="K177" t="s">
        <v>670</v>
      </c>
      <c r="L177">
        <v>1346</v>
      </c>
      <c r="N177">
        <v>1009</v>
      </c>
      <c r="O177" t="s">
        <v>386</v>
      </c>
      <c r="P177" t="s">
        <v>386</v>
      </c>
      <c r="Q177">
        <v>1</v>
      </c>
      <c r="X177">
        <v>0.8</v>
      </c>
      <c r="Y177">
        <v>9.04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G177">
        <v>0.8</v>
      </c>
      <c r="AH177">
        <v>2</v>
      </c>
      <c r="AI177">
        <v>42255185</v>
      </c>
      <c r="AJ177">
        <v>174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ROW(Source!A181)</f>
        <v>181</v>
      </c>
      <c r="B178">
        <v>42255197</v>
      </c>
      <c r="C178">
        <v>42255177</v>
      </c>
      <c r="D178">
        <v>36804580</v>
      </c>
      <c r="E178">
        <v>1</v>
      </c>
      <c r="F178">
        <v>1</v>
      </c>
      <c r="G178">
        <v>1</v>
      </c>
      <c r="H178">
        <v>3</v>
      </c>
      <c r="I178" t="s">
        <v>671</v>
      </c>
      <c r="J178" t="s">
        <v>672</v>
      </c>
      <c r="K178" t="s">
        <v>673</v>
      </c>
      <c r="L178">
        <v>1355</v>
      </c>
      <c r="N178">
        <v>1010</v>
      </c>
      <c r="O178" t="s">
        <v>674</v>
      </c>
      <c r="P178" t="s">
        <v>674</v>
      </c>
      <c r="Q178">
        <v>100</v>
      </c>
      <c r="X178">
        <v>0.4</v>
      </c>
      <c r="Y178">
        <v>86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G178">
        <v>0.4</v>
      </c>
      <c r="AH178">
        <v>2</v>
      </c>
      <c r="AI178">
        <v>42255186</v>
      </c>
      <c r="AJ178">
        <v>175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ROW(Source!A181)</f>
        <v>181</v>
      </c>
      <c r="B179">
        <v>42255198</v>
      </c>
      <c r="C179">
        <v>42255177</v>
      </c>
      <c r="D179">
        <v>36853457</v>
      </c>
      <c r="E179">
        <v>1</v>
      </c>
      <c r="F179">
        <v>1</v>
      </c>
      <c r="G179">
        <v>1</v>
      </c>
      <c r="H179">
        <v>3</v>
      </c>
      <c r="I179" t="s">
        <v>675</v>
      </c>
      <c r="J179" t="s">
        <v>676</v>
      </c>
      <c r="K179" t="s">
        <v>677</v>
      </c>
      <c r="L179">
        <v>1355</v>
      </c>
      <c r="N179">
        <v>1010</v>
      </c>
      <c r="O179" t="s">
        <v>674</v>
      </c>
      <c r="P179" t="s">
        <v>674</v>
      </c>
      <c r="Q179">
        <v>100</v>
      </c>
      <c r="X179">
        <v>0.11</v>
      </c>
      <c r="Y179">
        <v>617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G179">
        <v>0.11</v>
      </c>
      <c r="AH179">
        <v>2</v>
      </c>
      <c r="AI179">
        <v>42255187</v>
      </c>
      <c r="AJ179">
        <v>176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ROW(Source!A181)</f>
        <v>181</v>
      </c>
      <c r="B180">
        <v>42255199</v>
      </c>
      <c r="C180">
        <v>42255177</v>
      </c>
      <c r="D180">
        <v>36799065</v>
      </c>
      <c r="E180">
        <v>17</v>
      </c>
      <c r="F180">
        <v>1</v>
      </c>
      <c r="G180">
        <v>1</v>
      </c>
      <c r="H180">
        <v>3</v>
      </c>
      <c r="I180" t="s">
        <v>516</v>
      </c>
      <c r="K180" t="s">
        <v>517</v>
      </c>
      <c r="L180">
        <v>1374</v>
      </c>
      <c r="N180">
        <v>1013</v>
      </c>
      <c r="O180" t="s">
        <v>518</v>
      </c>
      <c r="P180" t="s">
        <v>518</v>
      </c>
      <c r="Q180">
        <v>1</v>
      </c>
      <c r="X180">
        <v>4.77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G180">
        <v>4.77</v>
      </c>
      <c r="AH180">
        <v>2</v>
      </c>
      <c r="AI180">
        <v>42255188</v>
      </c>
      <c r="AJ180">
        <v>177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ROW(Source!A183)</f>
        <v>183</v>
      </c>
      <c r="B181">
        <v>42255212</v>
      </c>
      <c r="C181">
        <v>42255202</v>
      </c>
      <c r="D181">
        <v>37064878</v>
      </c>
      <c r="E181">
        <v>1</v>
      </c>
      <c r="F181">
        <v>1</v>
      </c>
      <c r="G181">
        <v>1</v>
      </c>
      <c r="H181">
        <v>1</v>
      </c>
      <c r="I181" t="s">
        <v>663</v>
      </c>
      <c r="K181" t="s">
        <v>664</v>
      </c>
      <c r="L181">
        <v>1191</v>
      </c>
      <c r="N181">
        <v>1013</v>
      </c>
      <c r="O181" t="s">
        <v>462</v>
      </c>
      <c r="P181" t="s">
        <v>462</v>
      </c>
      <c r="Q181">
        <v>1</v>
      </c>
      <c r="X181">
        <v>10.7</v>
      </c>
      <c r="Y181">
        <v>0</v>
      </c>
      <c r="Z181">
        <v>0</v>
      </c>
      <c r="AA181">
        <v>0</v>
      </c>
      <c r="AB181">
        <v>9.4</v>
      </c>
      <c r="AC181">
        <v>0</v>
      </c>
      <c r="AD181">
        <v>1</v>
      </c>
      <c r="AE181">
        <v>1</v>
      </c>
      <c r="AG181">
        <v>10.7</v>
      </c>
      <c r="AH181">
        <v>2</v>
      </c>
      <c r="AI181">
        <v>42255203</v>
      </c>
      <c r="AJ181">
        <v>178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ROW(Source!A183)</f>
        <v>183</v>
      </c>
      <c r="B182">
        <v>42255213</v>
      </c>
      <c r="C182">
        <v>42255202</v>
      </c>
      <c r="D182">
        <v>37064876</v>
      </c>
      <c r="E182">
        <v>1</v>
      </c>
      <c r="F182">
        <v>1</v>
      </c>
      <c r="G182">
        <v>1</v>
      </c>
      <c r="H182">
        <v>1</v>
      </c>
      <c r="I182" t="s">
        <v>465</v>
      </c>
      <c r="K182" t="s">
        <v>466</v>
      </c>
      <c r="L182">
        <v>1191</v>
      </c>
      <c r="N182">
        <v>1013</v>
      </c>
      <c r="O182" t="s">
        <v>462</v>
      </c>
      <c r="P182" t="s">
        <v>462</v>
      </c>
      <c r="Q182">
        <v>1</v>
      </c>
      <c r="X182">
        <v>0.38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G182">
        <v>0.38</v>
      </c>
      <c r="AH182">
        <v>2</v>
      </c>
      <c r="AI182">
        <v>42255204</v>
      </c>
      <c r="AJ182">
        <v>179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ROW(Source!A183)</f>
        <v>183</v>
      </c>
      <c r="B183">
        <v>42255214</v>
      </c>
      <c r="C183">
        <v>42255202</v>
      </c>
      <c r="D183">
        <v>36882159</v>
      </c>
      <c r="E183">
        <v>1</v>
      </c>
      <c r="F183">
        <v>1</v>
      </c>
      <c r="G183">
        <v>1</v>
      </c>
      <c r="H183">
        <v>2</v>
      </c>
      <c r="I183" t="s">
        <v>495</v>
      </c>
      <c r="J183" t="s">
        <v>496</v>
      </c>
      <c r="K183" t="s">
        <v>497</v>
      </c>
      <c r="L183">
        <v>1368</v>
      </c>
      <c r="N183">
        <v>1011</v>
      </c>
      <c r="O183" t="s">
        <v>470</v>
      </c>
      <c r="P183" t="s">
        <v>470</v>
      </c>
      <c r="Q183">
        <v>1</v>
      </c>
      <c r="X183">
        <v>0.19</v>
      </c>
      <c r="Y183">
        <v>0</v>
      </c>
      <c r="Z183">
        <v>111.99</v>
      </c>
      <c r="AA183">
        <v>13.5</v>
      </c>
      <c r="AB183">
        <v>0</v>
      </c>
      <c r="AC183">
        <v>0</v>
      </c>
      <c r="AD183">
        <v>1</v>
      </c>
      <c r="AE183">
        <v>0</v>
      </c>
      <c r="AG183">
        <v>0.19</v>
      </c>
      <c r="AH183">
        <v>2</v>
      </c>
      <c r="AI183">
        <v>42255205</v>
      </c>
      <c r="AJ183">
        <v>180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ROW(Source!A183)</f>
        <v>183</v>
      </c>
      <c r="B184">
        <v>42255215</v>
      </c>
      <c r="C184">
        <v>42255202</v>
      </c>
      <c r="D184">
        <v>36883554</v>
      </c>
      <c r="E184">
        <v>1</v>
      </c>
      <c r="F184">
        <v>1</v>
      </c>
      <c r="G184">
        <v>1</v>
      </c>
      <c r="H184">
        <v>2</v>
      </c>
      <c r="I184" t="s">
        <v>498</v>
      </c>
      <c r="J184" t="s">
        <v>499</v>
      </c>
      <c r="K184" t="s">
        <v>500</v>
      </c>
      <c r="L184">
        <v>1368</v>
      </c>
      <c r="N184">
        <v>1011</v>
      </c>
      <c r="O184" t="s">
        <v>470</v>
      </c>
      <c r="P184" t="s">
        <v>470</v>
      </c>
      <c r="Q184">
        <v>1</v>
      </c>
      <c r="X184">
        <v>0.19</v>
      </c>
      <c r="Y184">
        <v>0</v>
      </c>
      <c r="Z184">
        <v>65.71</v>
      </c>
      <c r="AA184">
        <v>11.6</v>
      </c>
      <c r="AB184">
        <v>0</v>
      </c>
      <c r="AC184">
        <v>0</v>
      </c>
      <c r="AD184">
        <v>1</v>
      </c>
      <c r="AE184">
        <v>0</v>
      </c>
      <c r="AG184">
        <v>0.19</v>
      </c>
      <c r="AH184">
        <v>2</v>
      </c>
      <c r="AI184">
        <v>42255206</v>
      </c>
      <c r="AJ184">
        <v>181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ROW(Source!A183)</f>
        <v>183</v>
      </c>
      <c r="B185">
        <v>42255216</v>
      </c>
      <c r="C185">
        <v>42255202</v>
      </c>
      <c r="D185">
        <v>36883858</v>
      </c>
      <c r="E185">
        <v>1</v>
      </c>
      <c r="F185">
        <v>1</v>
      </c>
      <c r="G185">
        <v>1</v>
      </c>
      <c r="H185">
        <v>2</v>
      </c>
      <c r="I185" t="s">
        <v>501</v>
      </c>
      <c r="J185" t="s">
        <v>502</v>
      </c>
      <c r="K185" t="s">
        <v>503</v>
      </c>
      <c r="L185">
        <v>1368</v>
      </c>
      <c r="N185">
        <v>1011</v>
      </c>
      <c r="O185" t="s">
        <v>470</v>
      </c>
      <c r="P185" t="s">
        <v>470</v>
      </c>
      <c r="Q185">
        <v>1</v>
      </c>
      <c r="X185">
        <v>1.75</v>
      </c>
      <c r="Y185">
        <v>0</v>
      </c>
      <c r="Z185">
        <v>8.1</v>
      </c>
      <c r="AA185">
        <v>0</v>
      </c>
      <c r="AB185">
        <v>0</v>
      </c>
      <c r="AC185">
        <v>0</v>
      </c>
      <c r="AD185">
        <v>1</v>
      </c>
      <c r="AE185">
        <v>0</v>
      </c>
      <c r="AG185">
        <v>1.75</v>
      </c>
      <c r="AH185">
        <v>2</v>
      </c>
      <c r="AI185">
        <v>42255207</v>
      </c>
      <c r="AJ185">
        <v>182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ROW(Source!A183)</f>
        <v>183</v>
      </c>
      <c r="B186">
        <v>42255217</v>
      </c>
      <c r="C186">
        <v>42255202</v>
      </c>
      <c r="D186">
        <v>36803258</v>
      </c>
      <c r="E186">
        <v>1</v>
      </c>
      <c r="F186">
        <v>1</v>
      </c>
      <c r="G186">
        <v>1</v>
      </c>
      <c r="H186">
        <v>3</v>
      </c>
      <c r="I186" t="s">
        <v>507</v>
      </c>
      <c r="J186" t="s">
        <v>508</v>
      </c>
      <c r="K186" t="s">
        <v>509</v>
      </c>
      <c r="L186">
        <v>1346</v>
      </c>
      <c r="N186">
        <v>1009</v>
      </c>
      <c r="O186" t="s">
        <v>386</v>
      </c>
      <c r="P186" t="s">
        <v>386</v>
      </c>
      <c r="Q186">
        <v>1</v>
      </c>
      <c r="X186">
        <v>0.65</v>
      </c>
      <c r="Y186">
        <v>10.57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G186">
        <v>0.65</v>
      </c>
      <c r="AH186">
        <v>2</v>
      </c>
      <c r="AI186">
        <v>42255208</v>
      </c>
      <c r="AJ186">
        <v>183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ROW(Source!A183)</f>
        <v>183</v>
      </c>
      <c r="B187">
        <v>42255218</v>
      </c>
      <c r="C187">
        <v>42255202</v>
      </c>
      <c r="D187">
        <v>36838321</v>
      </c>
      <c r="E187">
        <v>1</v>
      </c>
      <c r="F187">
        <v>1</v>
      </c>
      <c r="G187">
        <v>1</v>
      </c>
      <c r="H187">
        <v>3</v>
      </c>
      <c r="I187" t="s">
        <v>678</v>
      </c>
      <c r="J187" t="s">
        <v>679</v>
      </c>
      <c r="K187" t="s">
        <v>680</v>
      </c>
      <c r="L187">
        <v>1346</v>
      </c>
      <c r="N187">
        <v>1009</v>
      </c>
      <c r="O187" t="s">
        <v>386</v>
      </c>
      <c r="P187" t="s">
        <v>386</v>
      </c>
      <c r="Q187">
        <v>1</v>
      </c>
      <c r="X187">
        <v>2</v>
      </c>
      <c r="Y187">
        <v>238.48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G187">
        <v>2</v>
      </c>
      <c r="AH187">
        <v>2</v>
      </c>
      <c r="AI187">
        <v>42255209</v>
      </c>
      <c r="AJ187">
        <v>185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ROW(Source!A183)</f>
        <v>183</v>
      </c>
      <c r="B188">
        <v>42255219</v>
      </c>
      <c r="C188">
        <v>42255202</v>
      </c>
      <c r="D188">
        <v>36799065</v>
      </c>
      <c r="E188">
        <v>17</v>
      </c>
      <c r="F188">
        <v>1</v>
      </c>
      <c r="G188">
        <v>1</v>
      </c>
      <c r="H188">
        <v>3</v>
      </c>
      <c r="I188" t="s">
        <v>516</v>
      </c>
      <c r="K188" t="s">
        <v>517</v>
      </c>
      <c r="L188">
        <v>1374</v>
      </c>
      <c r="N188">
        <v>1013</v>
      </c>
      <c r="O188" t="s">
        <v>518</v>
      </c>
      <c r="P188" t="s">
        <v>518</v>
      </c>
      <c r="Q188">
        <v>1</v>
      </c>
      <c r="X188">
        <v>2.01</v>
      </c>
      <c r="Y188">
        <v>1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G188">
        <v>2.01</v>
      </c>
      <c r="AH188">
        <v>2</v>
      </c>
      <c r="AI188">
        <v>42255210</v>
      </c>
      <c r="AJ188">
        <v>186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ROW(Source!A185)</f>
        <v>185</v>
      </c>
      <c r="B189">
        <v>42255231</v>
      </c>
      <c r="C189">
        <v>42255221</v>
      </c>
      <c r="D189">
        <v>37064878</v>
      </c>
      <c r="E189">
        <v>1</v>
      </c>
      <c r="F189">
        <v>1</v>
      </c>
      <c r="G189">
        <v>1</v>
      </c>
      <c r="H189">
        <v>1</v>
      </c>
      <c r="I189" t="s">
        <v>663</v>
      </c>
      <c r="K189" t="s">
        <v>664</v>
      </c>
      <c r="L189">
        <v>1191</v>
      </c>
      <c r="N189">
        <v>1013</v>
      </c>
      <c r="O189" t="s">
        <v>462</v>
      </c>
      <c r="P189" t="s">
        <v>462</v>
      </c>
      <c r="Q189">
        <v>1</v>
      </c>
      <c r="X189">
        <v>16.6</v>
      </c>
      <c r="Y189">
        <v>0</v>
      </c>
      <c r="Z189">
        <v>0</v>
      </c>
      <c r="AA189">
        <v>0</v>
      </c>
      <c r="AB189">
        <v>9.4</v>
      </c>
      <c r="AC189">
        <v>0</v>
      </c>
      <c r="AD189">
        <v>1</v>
      </c>
      <c r="AE189">
        <v>1</v>
      </c>
      <c r="AG189">
        <v>16.6</v>
      </c>
      <c r="AH189">
        <v>2</v>
      </c>
      <c r="AI189">
        <v>42255222</v>
      </c>
      <c r="AJ189">
        <v>187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ROW(Source!A185)</f>
        <v>185</v>
      </c>
      <c r="B190">
        <v>42255232</v>
      </c>
      <c r="C190">
        <v>42255221</v>
      </c>
      <c r="D190">
        <v>37064876</v>
      </c>
      <c r="E190">
        <v>1</v>
      </c>
      <c r="F190">
        <v>1</v>
      </c>
      <c r="G190">
        <v>1</v>
      </c>
      <c r="H190">
        <v>1</v>
      </c>
      <c r="I190" t="s">
        <v>465</v>
      </c>
      <c r="K190" t="s">
        <v>466</v>
      </c>
      <c r="L190">
        <v>1191</v>
      </c>
      <c r="N190">
        <v>1013</v>
      </c>
      <c r="O190" t="s">
        <v>462</v>
      </c>
      <c r="P190" t="s">
        <v>462</v>
      </c>
      <c r="Q190">
        <v>1</v>
      </c>
      <c r="X190">
        <v>0.44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2</v>
      </c>
      <c r="AG190">
        <v>0.44</v>
      </c>
      <c r="AH190">
        <v>2</v>
      </c>
      <c r="AI190">
        <v>42255223</v>
      </c>
      <c r="AJ190">
        <v>188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ROW(Source!A185)</f>
        <v>185</v>
      </c>
      <c r="B191">
        <v>42255233</v>
      </c>
      <c r="C191">
        <v>42255221</v>
      </c>
      <c r="D191">
        <v>36882159</v>
      </c>
      <c r="E191">
        <v>1</v>
      </c>
      <c r="F191">
        <v>1</v>
      </c>
      <c r="G191">
        <v>1</v>
      </c>
      <c r="H191">
        <v>2</v>
      </c>
      <c r="I191" t="s">
        <v>495</v>
      </c>
      <c r="J191" t="s">
        <v>496</v>
      </c>
      <c r="K191" t="s">
        <v>497</v>
      </c>
      <c r="L191">
        <v>1368</v>
      </c>
      <c r="N191">
        <v>1011</v>
      </c>
      <c r="O191" t="s">
        <v>470</v>
      </c>
      <c r="P191" t="s">
        <v>470</v>
      </c>
      <c r="Q191">
        <v>1</v>
      </c>
      <c r="X191">
        <v>0.22</v>
      </c>
      <c r="Y191">
        <v>0</v>
      </c>
      <c r="Z191">
        <v>111.99</v>
      </c>
      <c r="AA191">
        <v>13.5</v>
      </c>
      <c r="AB191">
        <v>0</v>
      </c>
      <c r="AC191">
        <v>0</v>
      </c>
      <c r="AD191">
        <v>1</v>
      </c>
      <c r="AE191">
        <v>0</v>
      </c>
      <c r="AG191">
        <v>0.22</v>
      </c>
      <c r="AH191">
        <v>2</v>
      </c>
      <c r="AI191">
        <v>42255224</v>
      </c>
      <c r="AJ191">
        <v>189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ROW(Source!A185)</f>
        <v>185</v>
      </c>
      <c r="B192">
        <v>42255234</v>
      </c>
      <c r="C192">
        <v>42255221</v>
      </c>
      <c r="D192">
        <v>36883554</v>
      </c>
      <c r="E192">
        <v>1</v>
      </c>
      <c r="F192">
        <v>1</v>
      </c>
      <c r="G192">
        <v>1</v>
      </c>
      <c r="H192">
        <v>2</v>
      </c>
      <c r="I192" t="s">
        <v>498</v>
      </c>
      <c r="J192" t="s">
        <v>499</v>
      </c>
      <c r="K192" t="s">
        <v>500</v>
      </c>
      <c r="L192">
        <v>1368</v>
      </c>
      <c r="N192">
        <v>1011</v>
      </c>
      <c r="O192" t="s">
        <v>470</v>
      </c>
      <c r="P192" t="s">
        <v>470</v>
      </c>
      <c r="Q192">
        <v>1</v>
      </c>
      <c r="X192">
        <v>0.22</v>
      </c>
      <c r="Y192">
        <v>0</v>
      </c>
      <c r="Z192">
        <v>65.71</v>
      </c>
      <c r="AA192">
        <v>11.6</v>
      </c>
      <c r="AB192">
        <v>0</v>
      </c>
      <c r="AC192">
        <v>0</v>
      </c>
      <c r="AD192">
        <v>1</v>
      </c>
      <c r="AE192">
        <v>0</v>
      </c>
      <c r="AG192">
        <v>0.22</v>
      </c>
      <c r="AH192">
        <v>2</v>
      </c>
      <c r="AI192">
        <v>42255225</v>
      </c>
      <c r="AJ192">
        <v>190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ROW(Source!A185)</f>
        <v>185</v>
      </c>
      <c r="B193">
        <v>42255235</v>
      </c>
      <c r="C193">
        <v>42255221</v>
      </c>
      <c r="D193">
        <v>36883858</v>
      </c>
      <c r="E193">
        <v>1</v>
      </c>
      <c r="F193">
        <v>1</v>
      </c>
      <c r="G193">
        <v>1</v>
      </c>
      <c r="H193">
        <v>2</v>
      </c>
      <c r="I193" t="s">
        <v>501</v>
      </c>
      <c r="J193" t="s">
        <v>502</v>
      </c>
      <c r="K193" t="s">
        <v>503</v>
      </c>
      <c r="L193">
        <v>1368</v>
      </c>
      <c r="N193">
        <v>1011</v>
      </c>
      <c r="O193" t="s">
        <v>470</v>
      </c>
      <c r="P193" t="s">
        <v>470</v>
      </c>
      <c r="Q193">
        <v>1</v>
      </c>
      <c r="X193">
        <v>3.13</v>
      </c>
      <c r="Y193">
        <v>0</v>
      </c>
      <c r="Z193">
        <v>8.1</v>
      </c>
      <c r="AA193">
        <v>0</v>
      </c>
      <c r="AB193">
        <v>0</v>
      </c>
      <c r="AC193">
        <v>0</v>
      </c>
      <c r="AD193">
        <v>1</v>
      </c>
      <c r="AE193">
        <v>0</v>
      </c>
      <c r="AG193">
        <v>3.13</v>
      </c>
      <c r="AH193">
        <v>2</v>
      </c>
      <c r="AI193">
        <v>42255226</v>
      </c>
      <c r="AJ193">
        <v>191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ROW(Source!A185)</f>
        <v>185</v>
      </c>
      <c r="B194">
        <v>42255236</v>
      </c>
      <c r="C194">
        <v>42255221</v>
      </c>
      <c r="D194">
        <v>36803258</v>
      </c>
      <c r="E194">
        <v>1</v>
      </c>
      <c r="F194">
        <v>1</v>
      </c>
      <c r="G194">
        <v>1</v>
      </c>
      <c r="H194">
        <v>3</v>
      </c>
      <c r="I194" t="s">
        <v>507</v>
      </c>
      <c r="J194" t="s">
        <v>508</v>
      </c>
      <c r="K194" t="s">
        <v>509</v>
      </c>
      <c r="L194">
        <v>1346</v>
      </c>
      <c r="N194">
        <v>1009</v>
      </c>
      <c r="O194" t="s">
        <v>386</v>
      </c>
      <c r="P194" t="s">
        <v>386</v>
      </c>
      <c r="Q194">
        <v>1</v>
      </c>
      <c r="X194">
        <v>0.9</v>
      </c>
      <c r="Y194">
        <v>10.57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0</v>
      </c>
      <c r="AG194">
        <v>0.9</v>
      </c>
      <c r="AH194">
        <v>2</v>
      </c>
      <c r="AI194">
        <v>42255227</v>
      </c>
      <c r="AJ194">
        <v>192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>
        <f>ROW(Source!A185)</f>
        <v>185</v>
      </c>
      <c r="B195">
        <v>42255237</v>
      </c>
      <c r="C195">
        <v>42255221</v>
      </c>
      <c r="D195">
        <v>36838321</v>
      </c>
      <c r="E195">
        <v>1</v>
      </c>
      <c r="F195">
        <v>1</v>
      </c>
      <c r="G195">
        <v>1</v>
      </c>
      <c r="H195">
        <v>3</v>
      </c>
      <c r="I195" t="s">
        <v>678</v>
      </c>
      <c r="J195" t="s">
        <v>679</v>
      </c>
      <c r="K195" t="s">
        <v>680</v>
      </c>
      <c r="L195">
        <v>1346</v>
      </c>
      <c r="N195">
        <v>1009</v>
      </c>
      <c r="O195" t="s">
        <v>386</v>
      </c>
      <c r="P195" t="s">
        <v>386</v>
      </c>
      <c r="Q195">
        <v>1</v>
      </c>
      <c r="X195">
        <v>3.7</v>
      </c>
      <c r="Y195">
        <v>238.48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G195">
        <v>3.7</v>
      </c>
      <c r="AH195">
        <v>2</v>
      </c>
      <c r="AI195">
        <v>42255228</v>
      </c>
      <c r="AJ195">
        <v>194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>
        <f>ROW(Source!A185)</f>
        <v>185</v>
      </c>
      <c r="B196">
        <v>42255238</v>
      </c>
      <c r="C196">
        <v>42255221</v>
      </c>
      <c r="D196">
        <v>36799065</v>
      </c>
      <c r="E196">
        <v>17</v>
      </c>
      <c r="F196">
        <v>1</v>
      </c>
      <c r="G196">
        <v>1</v>
      </c>
      <c r="H196">
        <v>3</v>
      </c>
      <c r="I196" t="s">
        <v>516</v>
      </c>
      <c r="K196" t="s">
        <v>517</v>
      </c>
      <c r="L196">
        <v>1374</v>
      </c>
      <c r="N196">
        <v>1013</v>
      </c>
      <c r="O196" t="s">
        <v>518</v>
      </c>
      <c r="P196" t="s">
        <v>518</v>
      </c>
      <c r="Q196">
        <v>1</v>
      </c>
      <c r="X196">
        <v>3.12</v>
      </c>
      <c r="Y196">
        <v>1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G196">
        <v>3.12</v>
      </c>
      <c r="AH196">
        <v>2</v>
      </c>
      <c r="AI196">
        <v>42255229</v>
      </c>
      <c r="AJ196">
        <v>195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>
        <f>ROW(Source!A221)</f>
        <v>221</v>
      </c>
      <c r="B197">
        <v>42254798</v>
      </c>
      <c r="C197">
        <v>42254795</v>
      </c>
      <c r="D197">
        <v>37518712</v>
      </c>
      <c r="E197">
        <v>1</v>
      </c>
      <c r="F197">
        <v>1</v>
      </c>
      <c r="G197">
        <v>1</v>
      </c>
      <c r="H197">
        <v>1</v>
      </c>
      <c r="I197" t="s">
        <v>681</v>
      </c>
      <c r="K197" t="s">
        <v>682</v>
      </c>
      <c r="L197">
        <v>1191</v>
      </c>
      <c r="N197">
        <v>1013</v>
      </c>
      <c r="O197" t="s">
        <v>462</v>
      </c>
      <c r="P197" t="s">
        <v>462</v>
      </c>
      <c r="Q197">
        <v>1</v>
      </c>
      <c r="X197">
        <v>4.32</v>
      </c>
      <c r="Y197">
        <v>0</v>
      </c>
      <c r="Z197">
        <v>0</v>
      </c>
      <c r="AA197">
        <v>0</v>
      </c>
      <c r="AB197">
        <v>9.17</v>
      </c>
      <c r="AC197">
        <v>0</v>
      </c>
      <c r="AD197">
        <v>1</v>
      </c>
      <c r="AE197">
        <v>1</v>
      </c>
      <c r="AG197">
        <v>4.32</v>
      </c>
      <c r="AH197">
        <v>2</v>
      </c>
      <c r="AI197">
        <v>42254796</v>
      </c>
      <c r="AJ197">
        <v>196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>
        <f>ROW(Source!A221)</f>
        <v>221</v>
      </c>
      <c r="B198">
        <v>42254799</v>
      </c>
      <c r="C198">
        <v>42254795</v>
      </c>
      <c r="D198">
        <v>37518714</v>
      </c>
      <c r="E198">
        <v>1</v>
      </c>
      <c r="F198">
        <v>1</v>
      </c>
      <c r="G198">
        <v>1</v>
      </c>
      <c r="H198">
        <v>1</v>
      </c>
      <c r="I198" t="s">
        <v>683</v>
      </c>
      <c r="K198" t="s">
        <v>684</v>
      </c>
      <c r="L198">
        <v>1191</v>
      </c>
      <c r="N198">
        <v>1013</v>
      </c>
      <c r="O198" t="s">
        <v>462</v>
      </c>
      <c r="P198" t="s">
        <v>462</v>
      </c>
      <c r="Q198">
        <v>1</v>
      </c>
      <c r="X198">
        <v>6.48</v>
      </c>
      <c r="Y198">
        <v>0</v>
      </c>
      <c r="Z198">
        <v>0</v>
      </c>
      <c r="AA198">
        <v>0</v>
      </c>
      <c r="AB198">
        <v>15.49</v>
      </c>
      <c r="AC198">
        <v>0</v>
      </c>
      <c r="AD198">
        <v>1</v>
      </c>
      <c r="AE198">
        <v>1</v>
      </c>
      <c r="AG198">
        <v>6.48</v>
      </c>
      <c r="AH198">
        <v>2</v>
      </c>
      <c r="AI198">
        <v>42254797</v>
      </c>
      <c r="AJ198">
        <v>197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t="12.75">
      <c r="A199">
        <f>ROW(Source!A222)</f>
        <v>222</v>
      </c>
      <c r="B199">
        <v>42254803</v>
      </c>
      <c r="C199">
        <v>42254800</v>
      </c>
      <c r="D199">
        <v>37518963</v>
      </c>
      <c r="E199">
        <v>1</v>
      </c>
      <c r="F199">
        <v>1</v>
      </c>
      <c r="G199">
        <v>1</v>
      </c>
      <c r="H199">
        <v>1</v>
      </c>
      <c r="I199" t="s">
        <v>685</v>
      </c>
      <c r="K199" t="s">
        <v>686</v>
      </c>
      <c r="L199">
        <v>1191</v>
      </c>
      <c r="N199">
        <v>1013</v>
      </c>
      <c r="O199" t="s">
        <v>462</v>
      </c>
      <c r="P199" t="s">
        <v>462</v>
      </c>
      <c r="Q199">
        <v>1</v>
      </c>
      <c r="X199">
        <v>2.92</v>
      </c>
      <c r="Y199">
        <v>0</v>
      </c>
      <c r="Z199">
        <v>0</v>
      </c>
      <c r="AA199">
        <v>0</v>
      </c>
      <c r="AB199">
        <v>9.62</v>
      </c>
      <c r="AC199">
        <v>0</v>
      </c>
      <c r="AD199">
        <v>1</v>
      </c>
      <c r="AE199">
        <v>1</v>
      </c>
      <c r="AG199">
        <v>2.92</v>
      </c>
      <c r="AH199">
        <v>2</v>
      </c>
      <c r="AI199">
        <v>42254801</v>
      </c>
      <c r="AJ199">
        <v>198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t="12.75">
      <c r="A200">
        <f>ROW(Source!A222)</f>
        <v>222</v>
      </c>
      <c r="B200">
        <v>42254804</v>
      </c>
      <c r="C200">
        <v>42254800</v>
      </c>
      <c r="D200">
        <v>37518716</v>
      </c>
      <c r="E200">
        <v>1</v>
      </c>
      <c r="F200">
        <v>1</v>
      </c>
      <c r="G200">
        <v>1</v>
      </c>
      <c r="H200">
        <v>1</v>
      </c>
      <c r="I200" t="s">
        <v>687</v>
      </c>
      <c r="K200" t="s">
        <v>688</v>
      </c>
      <c r="L200">
        <v>1191</v>
      </c>
      <c r="N200">
        <v>1013</v>
      </c>
      <c r="O200" t="s">
        <v>462</v>
      </c>
      <c r="P200" t="s">
        <v>462</v>
      </c>
      <c r="Q200">
        <v>1</v>
      </c>
      <c r="X200">
        <v>4.37</v>
      </c>
      <c r="Y200">
        <v>0</v>
      </c>
      <c r="Z200">
        <v>0</v>
      </c>
      <c r="AA200">
        <v>0</v>
      </c>
      <c r="AB200">
        <v>12.69</v>
      </c>
      <c r="AC200">
        <v>0</v>
      </c>
      <c r="AD200">
        <v>1</v>
      </c>
      <c r="AE200">
        <v>1</v>
      </c>
      <c r="AG200">
        <v>4.37</v>
      </c>
      <c r="AH200">
        <v>2</v>
      </c>
      <c r="AI200">
        <v>42254802</v>
      </c>
      <c r="AJ200">
        <v>199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t="12.75">
      <c r="A201">
        <f>ROW(Source!A223)</f>
        <v>223</v>
      </c>
      <c r="B201">
        <v>42254808</v>
      </c>
      <c r="C201">
        <v>42254805</v>
      </c>
      <c r="D201">
        <v>37518712</v>
      </c>
      <c r="E201">
        <v>1</v>
      </c>
      <c r="F201">
        <v>1</v>
      </c>
      <c r="G201">
        <v>1</v>
      </c>
      <c r="H201">
        <v>1</v>
      </c>
      <c r="I201" t="s">
        <v>681</v>
      </c>
      <c r="K201" t="s">
        <v>682</v>
      </c>
      <c r="L201">
        <v>1191</v>
      </c>
      <c r="N201">
        <v>1013</v>
      </c>
      <c r="O201" t="s">
        <v>462</v>
      </c>
      <c r="P201" t="s">
        <v>462</v>
      </c>
      <c r="Q201">
        <v>1</v>
      </c>
      <c r="X201">
        <v>0.54</v>
      </c>
      <c r="Y201">
        <v>0</v>
      </c>
      <c r="Z201">
        <v>0</v>
      </c>
      <c r="AA201">
        <v>0</v>
      </c>
      <c r="AB201">
        <v>9.17</v>
      </c>
      <c r="AC201">
        <v>0</v>
      </c>
      <c r="AD201">
        <v>1</v>
      </c>
      <c r="AE201">
        <v>1</v>
      </c>
      <c r="AG201">
        <v>0.54</v>
      </c>
      <c r="AH201">
        <v>2</v>
      </c>
      <c r="AI201">
        <v>42254806</v>
      </c>
      <c r="AJ201">
        <v>200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ht="12.75">
      <c r="A202">
        <f>ROW(Source!A223)</f>
        <v>223</v>
      </c>
      <c r="B202">
        <v>42254809</v>
      </c>
      <c r="C202">
        <v>42254805</v>
      </c>
      <c r="D202">
        <v>37518766</v>
      </c>
      <c r="E202">
        <v>1</v>
      </c>
      <c r="F202">
        <v>1</v>
      </c>
      <c r="G202">
        <v>1</v>
      </c>
      <c r="H202">
        <v>1</v>
      </c>
      <c r="I202" t="s">
        <v>689</v>
      </c>
      <c r="K202" t="s">
        <v>690</v>
      </c>
      <c r="L202">
        <v>1191</v>
      </c>
      <c r="N202">
        <v>1013</v>
      </c>
      <c r="O202" t="s">
        <v>462</v>
      </c>
      <c r="P202" t="s">
        <v>462</v>
      </c>
      <c r="Q202">
        <v>1</v>
      </c>
      <c r="X202">
        <v>0.81</v>
      </c>
      <c r="Y202">
        <v>0</v>
      </c>
      <c r="Z202">
        <v>0</v>
      </c>
      <c r="AA202">
        <v>0</v>
      </c>
      <c r="AB202">
        <v>14.09</v>
      </c>
      <c r="AC202">
        <v>0</v>
      </c>
      <c r="AD202">
        <v>1</v>
      </c>
      <c r="AE202">
        <v>1</v>
      </c>
      <c r="AG202">
        <v>0.81</v>
      </c>
      <c r="AH202">
        <v>2</v>
      </c>
      <c r="AI202">
        <v>42254807</v>
      </c>
      <c r="AJ202">
        <v>201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ht="12.75">
      <c r="A203">
        <f>ROW(Source!A224)</f>
        <v>224</v>
      </c>
      <c r="B203">
        <v>42254813</v>
      </c>
      <c r="C203">
        <v>42254810</v>
      </c>
      <c r="D203">
        <v>37518710</v>
      </c>
      <c r="E203">
        <v>1</v>
      </c>
      <c r="F203">
        <v>1</v>
      </c>
      <c r="G203">
        <v>1</v>
      </c>
      <c r="H203">
        <v>1</v>
      </c>
      <c r="I203" t="s">
        <v>691</v>
      </c>
      <c r="K203" t="s">
        <v>692</v>
      </c>
      <c r="L203">
        <v>1191</v>
      </c>
      <c r="N203">
        <v>1013</v>
      </c>
      <c r="O203" t="s">
        <v>462</v>
      </c>
      <c r="P203" t="s">
        <v>462</v>
      </c>
      <c r="Q203">
        <v>1</v>
      </c>
      <c r="X203">
        <v>0.97</v>
      </c>
      <c r="Y203">
        <v>0</v>
      </c>
      <c r="Z203">
        <v>0</v>
      </c>
      <c r="AA203">
        <v>0</v>
      </c>
      <c r="AB203">
        <v>11.09</v>
      </c>
      <c r="AC203">
        <v>0</v>
      </c>
      <c r="AD203">
        <v>1</v>
      </c>
      <c r="AE203">
        <v>1</v>
      </c>
      <c r="AG203">
        <v>0.97</v>
      </c>
      <c r="AH203">
        <v>2</v>
      </c>
      <c r="AI203">
        <v>42254811</v>
      </c>
      <c r="AJ203">
        <v>202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ht="12.75">
      <c r="A204">
        <f>ROW(Source!A224)</f>
        <v>224</v>
      </c>
      <c r="B204">
        <v>42254814</v>
      </c>
      <c r="C204">
        <v>42254810</v>
      </c>
      <c r="D204">
        <v>37518766</v>
      </c>
      <c r="E204">
        <v>1</v>
      </c>
      <c r="F204">
        <v>1</v>
      </c>
      <c r="G204">
        <v>1</v>
      </c>
      <c r="H204">
        <v>1</v>
      </c>
      <c r="I204" t="s">
        <v>689</v>
      </c>
      <c r="K204" t="s">
        <v>690</v>
      </c>
      <c r="L204">
        <v>1191</v>
      </c>
      <c r="N204">
        <v>1013</v>
      </c>
      <c r="O204" t="s">
        <v>462</v>
      </c>
      <c r="P204" t="s">
        <v>462</v>
      </c>
      <c r="Q204">
        <v>1</v>
      </c>
      <c r="X204">
        <v>1.46</v>
      </c>
      <c r="Y204">
        <v>0</v>
      </c>
      <c r="Z204">
        <v>0</v>
      </c>
      <c r="AA204">
        <v>0</v>
      </c>
      <c r="AB204">
        <v>14.09</v>
      </c>
      <c r="AC204">
        <v>0</v>
      </c>
      <c r="AD204">
        <v>1</v>
      </c>
      <c r="AE204">
        <v>1</v>
      </c>
      <c r="AG204">
        <v>1.46</v>
      </c>
      <c r="AH204">
        <v>2</v>
      </c>
      <c r="AI204">
        <v>42254812</v>
      </c>
      <c r="AJ204">
        <v>203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ht="12.75">
      <c r="A205">
        <f>ROW(Source!A225)</f>
        <v>225</v>
      </c>
      <c r="B205">
        <v>42254818</v>
      </c>
      <c r="C205">
        <v>42254815</v>
      </c>
      <c r="D205">
        <v>37518710</v>
      </c>
      <c r="E205">
        <v>1</v>
      </c>
      <c r="F205">
        <v>1</v>
      </c>
      <c r="G205">
        <v>1</v>
      </c>
      <c r="H205">
        <v>1</v>
      </c>
      <c r="I205" t="s">
        <v>691</v>
      </c>
      <c r="K205" t="s">
        <v>692</v>
      </c>
      <c r="L205">
        <v>1191</v>
      </c>
      <c r="N205">
        <v>1013</v>
      </c>
      <c r="O205" t="s">
        <v>462</v>
      </c>
      <c r="P205" t="s">
        <v>462</v>
      </c>
      <c r="Q205">
        <v>1</v>
      </c>
      <c r="X205">
        <v>0.65</v>
      </c>
      <c r="Y205">
        <v>0</v>
      </c>
      <c r="Z205">
        <v>0</v>
      </c>
      <c r="AA205">
        <v>0</v>
      </c>
      <c r="AB205">
        <v>11.09</v>
      </c>
      <c r="AC205">
        <v>0</v>
      </c>
      <c r="AD205">
        <v>1</v>
      </c>
      <c r="AE205">
        <v>1</v>
      </c>
      <c r="AG205">
        <v>0.65</v>
      </c>
      <c r="AH205">
        <v>2</v>
      </c>
      <c r="AI205">
        <v>42254816</v>
      </c>
      <c r="AJ205">
        <v>204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ht="12.75">
      <c r="A206">
        <f>ROW(Source!A225)</f>
        <v>225</v>
      </c>
      <c r="B206">
        <v>42254819</v>
      </c>
      <c r="C206">
        <v>42254815</v>
      </c>
      <c r="D206">
        <v>37518766</v>
      </c>
      <c r="E206">
        <v>1</v>
      </c>
      <c r="F206">
        <v>1</v>
      </c>
      <c r="G206">
        <v>1</v>
      </c>
      <c r="H206">
        <v>1</v>
      </c>
      <c r="I206" t="s">
        <v>689</v>
      </c>
      <c r="K206" t="s">
        <v>690</v>
      </c>
      <c r="L206">
        <v>1191</v>
      </c>
      <c r="N206">
        <v>1013</v>
      </c>
      <c r="O206" t="s">
        <v>462</v>
      </c>
      <c r="P206" t="s">
        <v>462</v>
      </c>
      <c r="Q206">
        <v>1</v>
      </c>
      <c r="X206">
        <v>0.97</v>
      </c>
      <c r="Y206">
        <v>0</v>
      </c>
      <c r="Z206">
        <v>0</v>
      </c>
      <c r="AA206">
        <v>0</v>
      </c>
      <c r="AB206">
        <v>14.09</v>
      </c>
      <c r="AC206">
        <v>0</v>
      </c>
      <c r="AD206">
        <v>1</v>
      </c>
      <c r="AE206">
        <v>1</v>
      </c>
      <c r="AG206">
        <v>0.97</v>
      </c>
      <c r="AH206">
        <v>2</v>
      </c>
      <c r="AI206">
        <v>42254817</v>
      </c>
      <c r="AJ206">
        <v>205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ht="12.75">
      <c r="A207">
        <f>ROW(Source!A226)</f>
        <v>226</v>
      </c>
      <c r="B207">
        <v>42254823</v>
      </c>
      <c r="C207">
        <v>42254820</v>
      </c>
      <c r="D207">
        <v>37518963</v>
      </c>
      <c r="E207">
        <v>1</v>
      </c>
      <c r="F207">
        <v>1</v>
      </c>
      <c r="G207">
        <v>1</v>
      </c>
      <c r="H207">
        <v>1</v>
      </c>
      <c r="I207" t="s">
        <v>685</v>
      </c>
      <c r="K207" t="s">
        <v>686</v>
      </c>
      <c r="L207">
        <v>1191</v>
      </c>
      <c r="N207">
        <v>1013</v>
      </c>
      <c r="O207" t="s">
        <v>462</v>
      </c>
      <c r="P207" t="s">
        <v>462</v>
      </c>
      <c r="Q207">
        <v>1</v>
      </c>
      <c r="X207">
        <v>7.2</v>
      </c>
      <c r="Y207">
        <v>0</v>
      </c>
      <c r="Z207">
        <v>0</v>
      </c>
      <c r="AA207">
        <v>0</v>
      </c>
      <c r="AB207">
        <v>9.62</v>
      </c>
      <c r="AC207">
        <v>0</v>
      </c>
      <c r="AD207">
        <v>1</v>
      </c>
      <c r="AE207">
        <v>1</v>
      </c>
      <c r="AG207">
        <v>7.2</v>
      </c>
      <c r="AH207">
        <v>2</v>
      </c>
      <c r="AI207">
        <v>42254821</v>
      </c>
      <c r="AJ207">
        <v>206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ht="12.75">
      <c r="A208">
        <f>ROW(Source!A226)</f>
        <v>226</v>
      </c>
      <c r="B208">
        <v>42254824</v>
      </c>
      <c r="C208">
        <v>42254820</v>
      </c>
      <c r="D208">
        <v>37518712</v>
      </c>
      <c r="E208">
        <v>1</v>
      </c>
      <c r="F208">
        <v>1</v>
      </c>
      <c r="G208">
        <v>1</v>
      </c>
      <c r="H208">
        <v>1</v>
      </c>
      <c r="I208" t="s">
        <v>681</v>
      </c>
      <c r="K208" t="s">
        <v>682</v>
      </c>
      <c r="L208">
        <v>1191</v>
      </c>
      <c r="N208">
        <v>1013</v>
      </c>
      <c r="O208" t="s">
        <v>462</v>
      </c>
      <c r="P208" t="s">
        <v>462</v>
      </c>
      <c r="Q208">
        <v>1</v>
      </c>
      <c r="X208">
        <v>7.2</v>
      </c>
      <c r="Y208">
        <v>0</v>
      </c>
      <c r="Z208">
        <v>0</v>
      </c>
      <c r="AA208">
        <v>0</v>
      </c>
      <c r="AB208">
        <v>9.17</v>
      </c>
      <c r="AC208">
        <v>0</v>
      </c>
      <c r="AD208">
        <v>1</v>
      </c>
      <c r="AE208">
        <v>1</v>
      </c>
      <c r="AG208">
        <v>7.2</v>
      </c>
      <c r="AH208">
        <v>2</v>
      </c>
      <c r="AI208">
        <v>42254822</v>
      </c>
      <c r="AJ208">
        <v>207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ht="12.75">
      <c r="A209">
        <f>ROW(Source!A261)</f>
        <v>261</v>
      </c>
      <c r="B209">
        <v>42255243</v>
      </c>
      <c r="C209">
        <v>42255240</v>
      </c>
      <c r="D209">
        <v>37519679</v>
      </c>
      <c r="E209">
        <v>1</v>
      </c>
      <c r="F209">
        <v>1</v>
      </c>
      <c r="G209">
        <v>1</v>
      </c>
      <c r="H209">
        <v>1</v>
      </c>
      <c r="I209" t="s">
        <v>693</v>
      </c>
      <c r="K209" t="s">
        <v>694</v>
      </c>
      <c r="L209">
        <v>1191</v>
      </c>
      <c r="N209">
        <v>1013</v>
      </c>
      <c r="O209" t="s">
        <v>462</v>
      </c>
      <c r="P209" t="s">
        <v>462</v>
      </c>
      <c r="Q209">
        <v>1</v>
      </c>
      <c r="X209">
        <v>6.48</v>
      </c>
      <c r="Y209">
        <v>0</v>
      </c>
      <c r="Z209">
        <v>0</v>
      </c>
      <c r="AA209">
        <v>0</v>
      </c>
      <c r="AB209">
        <v>12.92</v>
      </c>
      <c r="AC209">
        <v>0</v>
      </c>
      <c r="AD209">
        <v>1</v>
      </c>
      <c r="AE209">
        <v>1</v>
      </c>
      <c r="AG209">
        <v>6.48</v>
      </c>
      <c r="AH209">
        <v>2</v>
      </c>
      <c r="AI209">
        <v>42255241</v>
      </c>
      <c r="AJ209">
        <v>208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ht="12.75">
      <c r="A210">
        <f>ROW(Source!A261)</f>
        <v>261</v>
      </c>
      <c r="B210">
        <v>42255244</v>
      </c>
      <c r="C210">
        <v>42255240</v>
      </c>
      <c r="D210">
        <v>37518716</v>
      </c>
      <c r="E210">
        <v>1</v>
      </c>
      <c r="F210">
        <v>1</v>
      </c>
      <c r="G210">
        <v>1</v>
      </c>
      <c r="H210">
        <v>1</v>
      </c>
      <c r="I210" t="s">
        <v>687</v>
      </c>
      <c r="K210" t="s">
        <v>688</v>
      </c>
      <c r="L210">
        <v>1191</v>
      </c>
      <c r="N210">
        <v>1013</v>
      </c>
      <c r="O210" t="s">
        <v>462</v>
      </c>
      <c r="P210" t="s">
        <v>462</v>
      </c>
      <c r="Q210">
        <v>1</v>
      </c>
      <c r="X210">
        <v>6.48</v>
      </c>
      <c r="Y210">
        <v>0</v>
      </c>
      <c r="Z210">
        <v>0</v>
      </c>
      <c r="AA210">
        <v>0</v>
      </c>
      <c r="AB210">
        <v>12.69</v>
      </c>
      <c r="AC210">
        <v>0</v>
      </c>
      <c r="AD210">
        <v>1</v>
      </c>
      <c r="AE210">
        <v>1</v>
      </c>
      <c r="AG210">
        <v>6.48</v>
      </c>
      <c r="AH210">
        <v>2</v>
      </c>
      <c r="AI210">
        <v>42255242</v>
      </c>
      <c r="AJ210">
        <v>209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ht="12.75">
      <c r="A211">
        <f>ROW(Source!A262)</f>
        <v>262</v>
      </c>
      <c r="B211">
        <v>42255248</v>
      </c>
      <c r="C211">
        <v>42255245</v>
      </c>
      <c r="D211">
        <v>37519679</v>
      </c>
      <c r="E211">
        <v>1</v>
      </c>
      <c r="F211">
        <v>1</v>
      </c>
      <c r="G211">
        <v>1</v>
      </c>
      <c r="H211">
        <v>1</v>
      </c>
      <c r="I211" t="s">
        <v>693</v>
      </c>
      <c r="K211" t="s">
        <v>694</v>
      </c>
      <c r="L211">
        <v>1191</v>
      </c>
      <c r="N211">
        <v>1013</v>
      </c>
      <c r="O211" t="s">
        <v>462</v>
      </c>
      <c r="P211" t="s">
        <v>462</v>
      </c>
      <c r="Q211">
        <v>1</v>
      </c>
      <c r="X211">
        <v>0.61</v>
      </c>
      <c r="Y211">
        <v>0</v>
      </c>
      <c r="Z211">
        <v>0</v>
      </c>
      <c r="AA211">
        <v>0</v>
      </c>
      <c r="AB211">
        <v>12.92</v>
      </c>
      <c r="AC211">
        <v>0</v>
      </c>
      <c r="AD211">
        <v>1</v>
      </c>
      <c r="AE211">
        <v>1</v>
      </c>
      <c r="AG211">
        <v>0.61</v>
      </c>
      <c r="AH211">
        <v>2</v>
      </c>
      <c r="AI211">
        <v>42255246</v>
      </c>
      <c r="AJ211">
        <v>210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ht="12.75">
      <c r="A212">
        <f>ROW(Source!A262)</f>
        <v>262</v>
      </c>
      <c r="B212">
        <v>42255249</v>
      </c>
      <c r="C212">
        <v>42255245</v>
      </c>
      <c r="D212">
        <v>37518716</v>
      </c>
      <c r="E212">
        <v>1</v>
      </c>
      <c r="F212">
        <v>1</v>
      </c>
      <c r="G212">
        <v>1</v>
      </c>
      <c r="H212">
        <v>1</v>
      </c>
      <c r="I212" t="s">
        <v>687</v>
      </c>
      <c r="K212" t="s">
        <v>688</v>
      </c>
      <c r="L212">
        <v>1191</v>
      </c>
      <c r="N212">
        <v>1013</v>
      </c>
      <c r="O212" t="s">
        <v>462</v>
      </c>
      <c r="P212" t="s">
        <v>462</v>
      </c>
      <c r="Q212">
        <v>1</v>
      </c>
      <c r="X212">
        <v>0.61</v>
      </c>
      <c r="Y212">
        <v>0</v>
      </c>
      <c r="Z212">
        <v>0</v>
      </c>
      <c r="AA212">
        <v>0</v>
      </c>
      <c r="AB212">
        <v>12.69</v>
      </c>
      <c r="AC212">
        <v>0</v>
      </c>
      <c r="AD212">
        <v>1</v>
      </c>
      <c r="AE212">
        <v>1</v>
      </c>
      <c r="AG212">
        <v>0.61</v>
      </c>
      <c r="AH212">
        <v>2</v>
      </c>
      <c r="AI212">
        <v>42255247</v>
      </c>
      <c r="AJ212">
        <v>211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ht="12.75">
      <c r="A213">
        <f>ROW(Source!A263)</f>
        <v>263</v>
      </c>
      <c r="B213">
        <v>42255253</v>
      </c>
      <c r="C213">
        <v>42255250</v>
      </c>
      <c r="D213">
        <v>37519679</v>
      </c>
      <c r="E213">
        <v>1</v>
      </c>
      <c r="F213">
        <v>1</v>
      </c>
      <c r="G213">
        <v>1</v>
      </c>
      <c r="H213">
        <v>1</v>
      </c>
      <c r="I213" t="s">
        <v>693</v>
      </c>
      <c r="K213" t="s">
        <v>694</v>
      </c>
      <c r="L213">
        <v>1191</v>
      </c>
      <c r="N213">
        <v>1013</v>
      </c>
      <c r="O213" t="s">
        <v>462</v>
      </c>
      <c r="P213" t="s">
        <v>462</v>
      </c>
      <c r="Q213">
        <v>1</v>
      </c>
      <c r="X213">
        <v>0.61</v>
      </c>
      <c r="Y213">
        <v>0</v>
      </c>
      <c r="Z213">
        <v>0</v>
      </c>
      <c r="AA213">
        <v>0</v>
      </c>
      <c r="AB213">
        <v>12.92</v>
      </c>
      <c r="AC213">
        <v>0</v>
      </c>
      <c r="AD213">
        <v>1</v>
      </c>
      <c r="AE213">
        <v>1</v>
      </c>
      <c r="AG213">
        <v>0.61</v>
      </c>
      <c r="AH213">
        <v>2</v>
      </c>
      <c r="AI213">
        <v>42255251</v>
      </c>
      <c r="AJ213">
        <v>212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ht="12.75">
      <c r="A214">
        <f>ROW(Source!A263)</f>
        <v>263</v>
      </c>
      <c r="B214">
        <v>42255254</v>
      </c>
      <c r="C214">
        <v>42255250</v>
      </c>
      <c r="D214">
        <v>37518716</v>
      </c>
      <c r="E214">
        <v>1</v>
      </c>
      <c r="F214">
        <v>1</v>
      </c>
      <c r="G214">
        <v>1</v>
      </c>
      <c r="H214">
        <v>1</v>
      </c>
      <c r="I214" t="s">
        <v>687</v>
      </c>
      <c r="K214" t="s">
        <v>688</v>
      </c>
      <c r="L214">
        <v>1191</v>
      </c>
      <c r="N214">
        <v>1013</v>
      </c>
      <c r="O214" t="s">
        <v>462</v>
      </c>
      <c r="P214" t="s">
        <v>462</v>
      </c>
      <c r="Q214">
        <v>1</v>
      </c>
      <c r="X214">
        <v>0.61</v>
      </c>
      <c r="Y214">
        <v>0</v>
      </c>
      <c r="Z214">
        <v>0</v>
      </c>
      <c r="AA214">
        <v>0</v>
      </c>
      <c r="AB214">
        <v>12.69</v>
      </c>
      <c r="AC214">
        <v>0</v>
      </c>
      <c r="AD214">
        <v>1</v>
      </c>
      <c r="AE214">
        <v>1</v>
      </c>
      <c r="AG214">
        <v>0.61</v>
      </c>
      <c r="AH214">
        <v>2</v>
      </c>
      <c r="AI214">
        <v>42255252</v>
      </c>
      <c r="AJ214">
        <v>213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ht="12.75">
      <c r="A215">
        <f>ROW(Source!A264)</f>
        <v>264</v>
      </c>
      <c r="B215">
        <v>42255257</v>
      </c>
      <c r="C215">
        <v>42255255</v>
      </c>
      <c r="D215">
        <v>37518716</v>
      </c>
      <c r="E215">
        <v>1</v>
      </c>
      <c r="F215">
        <v>1</v>
      </c>
      <c r="G215">
        <v>1</v>
      </c>
      <c r="H215">
        <v>1</v>
      </c>
      <c r="I215" t="s">
        <v>687</v>
      </c>
      <c r="K215" t="s">
        <v>688</v>
      </c>
      <c r="L215">
        <v>1191</v>
      </c>
      <c r="N215">
        <v>1013</v>
      </c>
      <c r="O215" t="s">
        <v>462</v>
      </c>
      <c r="P215" t="s">
        <v>462</v>
      </c>
      <c r="Q215">
        <v>1</v>
      </c>
      <c r="X215">
        <v>20.88</v>
      </c>
      <c r="Y215">
        <v>0</v>
      </c>
      <c r="Z215">
        <v>0</v>
      </c>
      <c r="AA215">
        <v>0</v>
      </c>
      <c r="AB215">
        <v>12.69</v>
      </c>
      <c r="AC215">
        <v>0</v>
      </c>
      <c r="AD215">
        <v>1</v>
      </c>
      <c r="AE215">
        <v>1</v>
      </c>
      <c r="AG215">
        <v>20.88</v>
      </c>
      <c r="AH215">
        <v>2</v>
      </c>
      <c r="AI215">
        <v>42255256</v>
      </c>
      <c r="AJ215">
        <v>214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ht="12.75">
      <c r="A216">
        <f>ROW(Source!A299)</f>
        <v>299</v>
      </c>
      <c r="B216">
        <v>42263555</v>
      </c>
      <c r="C216">
        <v>42263550</v>
      </c>
      <c r="D216">
        <v>37065248</v>
      </c>
      <c r="E216">
        <v>1</v>
      </c>
      <c r="F216">
        <v>1</v>
      </c>
      <c r="G216">
        <v>1</v>
      </c>
      <c r="H216">
        <v>1</v>
      </c>
      <c r="I216" t="s">
        <v>460</v>
      </c>
      <c r="K216" t="s">
        <v>461</v>
      </c>
      <c r="L216">
        <v>1191</v>
      </c>
      <c r="N216">
        <v>1013</v>
      </c>
      <c r="O216" t="s">
        <v>462</v>
      </c>
      <c r="P216" t="s">
        <v>462</v>
      </c>
      <c r="Q216">
        <v>1</v>
      </c>
      <c r="X216">
        <v>129</v>
      </c>
      <c r="Y216">
        <v>0</v>
      </c>
      <c r="Z216">
        <v>0</v>
      </c>
      <c r="AA216">
        <v>0</v>
      </c>
      <c r="AB216">
        <v>8.53</v>
      </c>
      <c r="AC216">
        <v>0</v>
      </c>
      <c r="AD216">
        <v>1</v>
      </c>
      <c r="AE216">
        <v>1</v>
      </c>
      <c r="AG216">
        <v>129</v>
      </c>
      <c r="AH216">
        <v>2</v>
      </c>
      <c r="AI216">
        <v>42263555</v>
      </c>
      <c r="AJ216">
        <v>215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ht="12.75">
      <c r="A217">
        <f>ROW(Source!A300)</f>
        <v>300</v>
      </c>
      <c r="B217">
        <v>42263562</v>
      </c>
      <c r="C217">
        <v>42263559</v>
      </c>
      <c r="D217">
        <v>37068121</v>
      </c>
      <c r="E217">
        <v>1</v>
      </c>
      <c r="F217">
        <v>1</v>
      </c>
      <c r="G217">
        <v>1</v>
      </c>
      <c r="H217">
        <v>1</v>
      </c>
      <c r="I217" t="s">
        <v>695</v>
      </c>
      <c r="K217" t="s">
        <v>696</v>
      </c>
      <c r="L217">
        <v>1191</v>
      </c>
      <c r="N217">
        <v>1013</v>
      </c>
      <c r="O217" t="s">
        <v>462</v>
      </c>
      <c r="P217" t="s">
        <v>462</v>
      </c>
      <c r="Q217">
        <v>1</v>
      </c>
      <c r="X217">
        <v>40</v>
      </c>
      <c r="Y217">
        <v>0</v>
      </c>
      <c r="Z217">
        <v>0</v>
      </c>
      <c r="AA217">
        <v>0</v>
      </c>
      <c r="AB217">
        <v>7.94</v>
      </c>
      <c r="AC217">
        <v>0</v>
      </c>
      <c r="AD217">
        <v>1</v>
      </c>
      <c r="AE217">
        <v>1</v>
      </c>
      <c r="AG217">
        <v>40</v>
      </c>
      <c r="AH217">
        <v>2</v>
      </c>
      <c r="AI217">
        <v>42263560</v>
      </c>
      <c r="AJ217">
        <v>216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ht="12.75">
      <c r="A218">
        <f>ROW(Source!A300)</f>
        <v>300</v>
      </c>
      <c r="B218">
        <v>42263563</v>
      </c>
      <c r="C218">
        <v>42263559</v>
      </c>
      <c r="D218">
        <v>36840158</v>
      </c>
      <c r="E218">
        <v>1</v>
      </c>
      <c r="F218">
        <v>1</v>
      </c>
      <c r="G218">
        <v>1</v>
      </c>
      <c r="H218">
        <v>3</v>
      </c>
      <c r="I218" t="s">
        <v>697</v>
      </c>
      <c r="J218" t="s">
        <v>698</v>
      </c>
      <c r="K218" t="s">
        <v>699</v>
      </c>
      <c r="L218">
        <v>1339</v>
      </c>
      <c r="N218">
        <v>1007</v>
      </c>
      <c r="O218" t="s">
        <v>140</v>
      </c>
      <c r="P218" t="s">
        <v>140</v>
      </c>
      <c r="Q218">
        <v>1</v>
      </c>
      <c r="X218">
        <v>15</v>
      </c>
      <c r="Y218">
        <v>131.9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G218">
        <v>15</v>
      </c>
      <c r="AH218">
        <v>2</v>
      </c>
      <c r="AI218">
        <v>42263561</v>
      </c>
      <c r="AJ218">
        <v>217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ht="12.75">
      <c r="A219">
        <f>ROW(Source!A302)</f>
        <v>302</v>
      </c>
      <c r="B219">
        <v>42263571</v>
      </c>
      <c r="C219">
        <v>42263567</v>
      </c>
      <c r="D219">
        <v>37064876</v>
      </c>
      <c r="E219">
        <v>1</v>
      </c>
      <c r="F219">
        <v>1</v>
      </c>
      <c r="G219">
        <v>1</v>
      </c>
      <c r="H219">
        <v>1</v>
      </c>
      <c r="I219" t="s">
        <v>465</v>
      </c>
      <c r="K219" t="s">
        <v>466</v>
      </c>
      <c r="L219">
        <v>1191</v>
      </c>
      <c r="N219">
        <v>1013</v>
      </c>
      <c r="O219" t="s">
        <v>462</v>
      </c>
      <c r="P219" t="s">
        <v>462</v>
      </c>
      <c r="Q219">
        <v>1</v>
      </c>
      <c r="X219">
        <v>0.5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2</v>
      </c>
      <c r="AG219">
        <v>0.5</v>
      </c>
      <c r="AH219">
        <v>2</v>
      </c>
      <c r="AI219">
        <v>42263568</v>
      </c>
      <c r="AJ219">
        <v>219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ht="12.75">
      <c r="A220">
        <f>ROW(Source!A302)</f>
        <v>302</v>
      </c>
      <c r="B220">
        <v>42263572</v>
      </c>
      <c r="C220">
        <v>42263567</v>
      </c>
      <c r="D220">
        <v>36883406</v>
      </c>
      <c r="E220">
        <v>1</v>
      </c>
      <c r="F220">
        <v>1</v>
      </c>
      <c r="G220">
        <v>1</v>
      </c>
      <c r="H220">
        <v>2</v>
      </c>
      <c r="I220" t="s">
        <v>700</v>
      </c>
      <c r="J220" t="s">
        <v>701</v>
      </c>
      <c r="K220" t="s">
        <v>702</v>
      </c>
      <c r="L220">
        <v>1368</v>
      </c>
      <c r="N220">
        <v>1011</v>
      </c>
      <c r="O220" t="s">
        <v>470</v>
      </c>
      <c r="P220" t="s">
        <v>470</v>
      </c>
      <c r="Q220">
        <v>1</v>
      </c>
      <c r="X220">
        <v>0.5</v>
      </c>
      <c r="Y220">
        <v>0</v>
      </c>
      <c r="Z220">
        <v>48.2</v>
      </c>
      <c r="AA220">
        <v>0</v>
      </c>
      <c r="AB220">
        <v>0</v>
      </c>
      <c r="AC220">
        <v>0</v>
      </c>
      <c r="AD220">
        <v>1</v>
      </c>
      <c r="AE220">
        <v>0</v>
      </c>
      <c r="AG220">
        <v>0.5</v>
      </c>
      <c r="AH220">
        <v>2</v>
      </c>
      <c r="AI220">
        <v>42263569</v>
      </c>
      <c r="AJ220">
        <v>220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ht="12.75">
      <c r="A221">
        <f>ROW(Source!A302)</f>
        <v>302</v>
      </c>
      <c r="B221">
        <v>42263573</v>
      </c>
      <c r="C221">
        <v>42263567</v>
      </c>
      <c r="D221">
        <v>36883667</v>
      </c>
      <c r="E221">
        <v>1</v>
      </c>
      <c r="F221">
        <v>1</v>
      </c>
      <c r="G221">
        <v>1</v>
      </c>
      <c r="H221">
        <v>2</v>
      </c>
      <c r="I221" t="s">
        <v>703</v>
      </c>
      <c r="J221" t="s">
        <v>704</v>
      </c>
      <c r="K221" t="s">
        <v>705</v>
      </c>
      <c r="L221">
        <v>1368</v>
      </c>
      <c r="N221">
        <v>1011</v>
      </c>
      <c r="O221" t="s">
        <v>470</v>
      </c>
      <c r="P221" t="s">
        <v>470</v>
      </c>
      <c r="Q221">
        <v>1</v>
      </c>
      <c r="X221">
        <v>0.5</v>
      </c>
      <c r="Y221">
        <v>0</v>
      </c>
      <c r="Z221">
        <v>74.61</v>
      </c>
      <c r="AA221">
        <v>13.5</v>
      </c>
      <c r="AB221">
        <v>0</v>
      </c>
      <c r="AC221">
        <v>0</v>
      </c>
      <c r="AD221">
        <v>1</v>
      </c>
      <c r="AE221">
        <v>0</v>
      </c>
      <c r="AG221">
        <v>0.5</v>
      </c>
      <c r="AH221">
        <v>2</v>
      </c>
      <c r="AI221">
        <v>42263570</v>
      </c>
      <c r="AJ221">
        <v>221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ht="12.75">
      <c r="A222">
        <f>ROW(Source!A302)</f>
        <v>302</v>
      </c>
      <c r="B222">
        <v>42263574</v>
      </c>
      <c r="C222">
        <v>42263567</v>
      </c>
      <c r="D222">
        <v>36796101</v>
      </c>
      <c r="E222">
        <v>17</v>
      </c>
      <c r="F222">
        <v>1</v>
      </c>
      <c r="G222">
        <v>1</v>
      </c>
      <c r="H222">
        <v>3</v>
      </c>
      <c r="I222" t="s">
        <v>729</v>
      </c>
      <c r="K222" t="s">
        <v>730</v>
      </c>
      <c r="L222">
        <v>1346</v>
      </c>
      <c r="N222">
        <v>1009</v>
      </c>
      <c r="O222" t="s">
        <v>386</v>
      </c>
      <c r="P222" t="s">
        <v>386</v>
      </c>
      <c r="Q222">
        <v>1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1</v>
      </c>
      <c r="AD222">
        <v>0</v>
      </c>
      <c r="AE222">
        <v>0</v>
      </c>
      <c r="AG222">
        <v>0</v>
      </c>
      <c r="AH222">
        <v>3</v>
      </c>
      <c r="AI222">
        <v>-1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ht="12.75">
      <c r="A223">
        <f>ROW(Source!A304)</f>
        <v>304</v>
      </c>
      <c r="B223">
        <v>42263582</v>
      </c>
      <c r="C223">
        <v>42263577</v>
      </c>
      <c r="D223">
        <v>37068110</v>
      </c>
      <c r="E223">
        <v>1</v>
      </c>
      <c r="F223">
        <v>1</v>
      </c>
      <c r="G223">
        <v>1</v>
      </c>
      <c r="H223">
        <v>1</v>
      </c>
      <c r="I223" t="s">
        <v>706</v>
      </c>
      <c r="K223" t="s">
        <v>707</v>
      </c>
      <c r="L223">
        <v>1191</v>
      </c>
      <c r="N223">
        <v>1013</v>
      </c>
      <c r="O223" t="s">
        <v>462</v>
      </c>
      <c r="P223" t="s">
        <v>462</v>
      </c>
      <c r="Q223">
        <v>1</v>
      </c>
      <c r="X223">
        <v>1.81</v>
      </c>
      <c r="Y223">
        <v>0</v>
      </c>
      <c r="Z223">
        <v>0</v>
      </c>
      <c r="AA223">
        <v>0</v>
      </c>
      <c r="AB223">
        <v>7.19</v>
      </c>
      <c r="AC223">
        <v>0</v>
      </c>
      <c r="AD223">
        <v>1</v>
      </c>
      <c r="AE223">
        <v>1</v>
      </c>
      <c r="AG223">
        <v>1.81</v>
      </c>
      <c r="AH223">
        <v>2</v>
      </c>
      <c r="AI223">
        <v>42263578</v>
      </c>
      <c r="AJ223">
        <v>223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ht="12.75">
      <c r="A224">
        <f>ROW(Source!A304)</f>
        <v>304</v>
      </c>
      <c r="B224">
        <v>42263583</v>
      </c>
      <c r="C224">
        <v>42263577</v>
      </c>
      <c r="D224">
        <v>37064876</v>
      </c>
      <c r="E224">
        <v>1</v>
      </c>
      <c r="F224">
        <v>1</v>
      </c>
      <c r="G224">
        <v>1</v>
      </c>
      <c r="H224">
        <v>1</v>
      </c>
      <c r="I224" t="s">
        <v>465</v>
      </c>
      <c r="K224" t="s">
        <v>466</v>
      </c>
      <c r="L224">
        <v>1191</v>
      </c>
      <c r="N224">
        <v>1013</v>
      </c>
      <c r="O224" t="s">
        <v>462</v>
      </c>
      <c r="P224" t="s">
        <v>462</v>
      </c>
      <c r="Q224">
        <v>1</v>
      </c>
      <c r="X224">
        <v>1.96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2</v>
      </c>
      <c r="AG224">
        <v>1.96</v>
      </c>
      <c r="AH224">
        <v>2</v>
      </c>
      <c r="AI224">
        <v>42263579</v>
      </c>
      <c r="AJ224">
        <v>224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ht="12.75">
      <c r="A225">
        <f>ROW(Source!A304)</f>
        <v>304</v>
      </c>
      <c r="B225">
        <v>42263584</v>
      </c>
      <c r="C225">
        <v>42263577</v>
      </c>
      <c r="D225">
        <v>36883483</v>
      </c>
      <c r="E225">
        <v>1</v>
      </c>
      <c r="F225">
        <v>1</v>
      </c>
      <c r="G225">
        <v>1</v>
      </c>
      <c r="H225">
        <v>2</v>
      </c>
      <c r="I225" t="s">
        <v>537</v>
      </c>
      <c r="J225" t="s">
        <v>538</v>
      </c>
      <c r="K225" t="s">
        <v>539</v>
      </c>
      <c r="L225">
        <v>1368</v>
      </c>
      <c r="N225">
        <v>1011</v>
      </c>
      <c r="O225" t="s">
        <v>470</v>
      </c>
      <c r="P225" t="s">
        <v>470</v>
      </c>
      <c r="Q225">
        <v>1</v>
      </c>
      <c r="X225">
        <v>1.96</v>
      </c>
      <c r="Y225">
        <v>0</v>
      </c>
      <c r="Z225">
        <v>110</v>
      </c>
      <c r="AA225">
        <v>11.6</v>
      </c>
      <c r="AB225">
        <v>0</v>
      </c>
      <c r="AC225">
        <v>0</v>
      </c>
      <c r="AD225">
        <v>1</v>
      </c>
      <c r="AE225">
        <v>0</v>
      </c>
      <c r="AG225">
        <v>1.96</v>
      </c>
      <c r="AH225">
        <v>2</v>
      </c>
      <c r="AI225">
        <v>42263580</v>
      </c>
      <c r="AJ225">
        <v>225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ht="12.75">
      <c r="A226">
        <f>ROW(Source!A304)</f>
        <v>304</v>
      </c>
      <c r="B226">
        <v>42263585</v>
      </c>
      <c r="C226">
        <v>42263577</v>
      </c>
      <c r="D226">
        <v>36801792</v>
      </c>
      <c r="E226">
        <v>1</v>
      </c>
      <c r="F226">
        <v>1</v>
      </c>
      <c r="G226">
        <v>1</v>
      </c>
      <c r="H226">
        <v>3</v>
      </c>
      <c r="I226" t="s">
        <v>540</v>
      </c>
      <c r="J226" t="s">
        <v>541</v>
      </c>
      <c r="K226" t="s">
        <v>542</v>
      </c>
      <c r="L226">
        <v>1339</v>
      </c>
      <c r="N226">
        <v>1007</v>
      </c>
      <c r="O226" t="s">
        <v>140</v>
      </c>
      <c r="P226" t="s">
        <v>140</v>
      </c>
      <c r="Q226">
        <v>1</v>
      </c>
      <c r="X226">
        <v>5.1</v>
      </c>
      <c r="Y226">
        <v>2.44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0</v>
      </c>
      <c r="AG226">
        <v>5.1</v>
      </c>
      <c r="AH226">
        <v>2</v>
      </c>
      <c r="AI226">
        <v>42263581</v>
      </c>
      <c r="AJ226">
        <v>226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</cp:lastModifiedBy>
  <cp:lastPrinted>2017-11-14T15:47:56Z</cp:lastPrinted>
  <dcterms:modified xsi:type="dcterms:W3CDTF">2017-12-01T13:21:55Z</dcterms:modified>
  <cp:category/>
  <cp:version/>
  <cp:contentType/>
  <cp:contentStatus/>
</cp:coreProperties>
</file>